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N:\BHSC\BHC\Rates\BHE CLFP\FERC\TransmissionFormula Rate\CLFP Trans Form Rates 2025\Files for Oasis\"/>
    </mc:Choice>
  </mc:AlternateContent>
  <xr:revisionPtr revIDLastSave="0" documentId="8_{6C988531-C70F-4A51-8DA3-AFD4866324E2}" xr6:coauthVersionLast="47" xr6:coauthVersionMax="47" xr10:uidLastSave="{00000000-0000-0000-0000-000000000000}"/>
  <bookViews>
    <workbookView xWindow="-15750" yWindow="-16320" windowWidth="29040" windowHeight="15720" tabRatio="911" firstSheet="4" activeTab="12" xr2:uid="{00000000-000D-0000-FFFF-FFFF00000000}"/>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A8-Prepmts" sheetId="39" r:id="rId10"/>
    <sheet name="A9-PermDiffs" sheetId="40" r:id="rId11"/>
    <sheet name="TU-TrueUp" sheetId="21" r:id="rId12"/>
    <sheet name="Proj Att-H" sheetId="25" r:id="rId13"/>
    <sheet name="P1-Trans Plant" sheetId="26" r:id="rId14"/>
    <sheet name="P2-Exp. &amp; Rev. Credits" sheetId="27" r:id="rId15"/>
    <sheet name="P3-Divisor" sheetId="28" r:id="rId16"/>
    <sheet name="P4-IncentPlant" sheetId="30" r:id="rId17"/>
    <sheet name="P5-ADIT" sheetId="37" r:id="rId18"/>
    <sheet name="Schedule 1" sheetId="31" r:id="rId19"/>
  </sheets>
  <externalReferences>
    <externalReference r:id="rId20"/>
    <externalReference r:id="rId21"/>
  </externalReferences>
  <definedNames>
    <definedName name="__123Graph_A" localSheetId="9" hidden="1">[1]Sheet3!#REF!</definedName>
    <definedName name="__123Graph_A" localSheetId="10" hidden="1">[1]Sheet3!#REF!</definedName>
    <definedName name="__123Graph_A" localSheetId="17" hidden="1">[1]Sheet3!#REF!</definedName>
    <definedName name="__123Graph_A" hidden="1">[1]Sheet3!#REF!</definedName>
    <definedName name="__123Graph_A1991" localSheetId="9" hidden="1">[1]Sheet3!#REF!</definedName>
    <definedName name="__123Graph_A1991" localSheetId="10" hidden="1">[1]Sheet3!#REF!</definedName>
    <definedName name="__123Graph_A1991" localSheetId="17" hidden="1">[1]Sheet3!#REF!</definedName>
    <definedName name="__123Graph_A1991" hidden="1">[1]Sheet3!#REF!</definedName>
    <definedName name="__123Graph_A1992" localSheetId="9" hidden="1">[1]Sheet3!#REF!</definedName>
    <definedName name="__123Graph_A1992" localSheetId="10" hidden="1">[1]Sheet3!#REF!</definedName>
    <definedName name="__123Graph_A1992" localSheetId="17" hidden="1">[1]Sheet3!#REF!</definedName>
    <definedName name="__123Graph_A1992" hidden="1">[1]Sheet3!#REF!</definedName>
    <definedName name="__123Graph_A1993" localSheetId="9" hidden="1">[1]Sheet3!#REF!</definedName>
    <definedName name="__123Graph_A1993" localSheetId="10" hidden="1">[1]Sheet3!#REF!</definedName>
    <definedName name="__123Graph_A1993" localSheetId="17" hidden="1">[1]Sheet3!#REF!</definedName>
    <definedName name="__123Graph_A1993" hidden="1">[1]Sheet3!#REF!</definedName>
    <definedName name="__123Graph_A1994" localSheetId="9" hidden="1">[1]Sheet3!#REF!</definedName>
    <definedName name="__123Graph_A1994" localSheetId="10" hidden="1">[1]Sheet3!#REF!</definedName>
    <definedName name="__123Graph_A1994" localSheetId="17" hidden="1">[1]Sheet3!#REF!</definedName>
    <definedName name="__123Graph_A1994" hidden="1">[1]Sheet3!#REF!</definedName>
    <definedName name="__123Graph_A1995" localSheetId="9" hidden="1">[1]Sheet3!#REF!</definedName>
    <definedName name="__123Graph_A1995" localSheetId="10" hidden="1">[1]Sheet3!#REF!</definedName>
    <definedName name="__123Graph_A1995" localSheetId="17" hidden="1">[1]Sheet3!#REF!</definedName>
    <definedName name="__123Graph_A1995" hidden="1">[1]Sheet3!#REF!</definedName>
    <definedName name="__123Graph_A1996" localSheetId="9" hidden="1">[1]Sheet3!#REF!</definedName>
    <definedName name="__123Graph_A1996" localSheetId="10" hidden="1">[1]Sheet3!#REF!</definedName>
    <definedName name="__123Graph_A1996" localSheetId="17" hidden="1">[1]Sheet3!#REF!</definedName>
    <definedName name="__123Graph_A1996" hidden="1">[1]Sheet3!#REF!</definedName>
    <definedName name="__123Graph_ABAR" localSheetId="9" hidden="1">[1]Sheet3!#REF!</definedName>
    <definedName name="__123Graph_ABAR" localSheetId="10" hidden="1">[1]Sheet3!#REF!</definedName>
    <definedName name="__123Graph_ABAR" localSheetId="17" hidden="1">[1]Sheet3!#REF!</definedName>
    <definedName name="__123Graph_ABAR" hidden="1">[1]Sheet3!#REF!</definedName>
    <definedName name="__123Graph_B" localSheetId="9" hidden="1">[1]Sheet3!#REF!</definedName>
    <definedName name="__123Graph_B" localSheetId="10" hidden="1">[1]Sheet3!#REF!</definedName>
    <definedName name="__123Graph_B" localSheetId="17" hidden="1">[1]Sheet3!#REF!</definedName>
    <definedName name="__123Graph_B" hidden="1">[1]Sheet3!#REF!</definedName>
    <definedName name="__123Graph_B1991" localSheetId="9" hidden="1">[1]Sheet3!#REF!</definedName>
    <definedName name="__123Graph_B1991" localSheetId="10" hidden="1">[1]Sheet3!#REF!</definedName>
    <definedName name="__123Graph_B1991" localSheetId="17" hidden="1">[1]Sheet3!#REF!</definedName>
    <definedName name="__123Graph_B1991" hidden="1">[1]Sheet3!#REF!</definedName>
    <definedName name="__123Graph_B1992" localSheetId="9" hidden="1">[1]Sheet3!#REF!</definedName>
    <definedName name="__123Graph_B1992" localSheetId="10" hidden="1">[1]Sheet3!#REF!</definedName>
    <definedName name="__123Graph_B1992" localSheetId="17" hidden="1">[1]Sheet3!#REF!</definedName>
    <definedName name="__123Graph_B1992" hidden="1">[1]Sheet3!#REF!</definedName>
    <definedName name="__123Graph_B1993" localSheetId="9" hidden="1">[1]Sheet3!#REF!</definedName>
    <definedName name="__123Graph_B1993" localSheetId="10" hidden="1">[1]Sheet3!#REF!</definedName>
    <definedName name="__123Graph_B1993" localSheetId="17" hidden="1">[1]Sheet3!#REF!</definedName>
    <definedName name="__123Graph_B1993" hidden="1">[1]Sheet3!#REF!</definedName>
    <definedName name="__123Graph_B1994" localSheetId="9" hidden="1">[1]Sheet3!#REF!</definedName>
    <definedName name="__123Graph_B1994" localSheetId="10" hidden="1">[1]Sheet3!#REF!</definedName>
    <definedName name="__123Graph_B1994" localSheetId="17" hidden="1">[1]Sheet3!#REF!</definedName>
    <definedName name="__123Graph_B1994" hidden="1">[1]Sheet3!#REF!</definedName>
    <definedName name="__123Graph_B1995" localSheetId="9" hidden="1">[1]Sheet3!#REF!</definedName>
    <definedName name="__123Graph_B1995" localSheetId="10" hidden="1">[1]Sheet3!#REF!</definedName>
    <definedName name="__123Graph_B1995" localSheetId="17" hidden="1">[1]Sheet3!#REF!</definedName>
    <definedName name="__123Graph_B1995" hidden="1">[1]Sheet3!#REF!</definedName>
    <definedName name="__123Graph_B1996" localSheetId="9" hidden="1">[1]Sheet3!#REF!</definedName>
    <definedName name="__123Graph_B1996" localSheetId="10" hidden="1">[1]Sheet3!#REF!</definedName>
    <definedName name="__123Graph_B1996" localSheetId="17" hidden="1">[1]Sheet3!#REF!</definedName>
    <definedName name="__123Graph_B1996" hidden="1">[1]Sheet3!#REF!</definedName>
    <definedName name="__123Graph_BBAR" localSheetId="9" hidden="1">[1]Sheet3!#REF!</definedName>
    <definedName name="__123Graph_BBAR" localSheetId="10" hidden="1">[1]Sheet3!#REF!</definedName>
    <definedName name="__123Graph_BBAR" localSheetId="17" hidden="1">[1]Sheet3!#REF!</definedName>
    <definedName name="__123Graph_BBAR" hidden="1">[1]Sheet3!#REF!</definedName>
    <definedName name="__123Graph_CBAR" localSheetId="9" hidden="1">[1]Sheet3!#REF!</definedName>
    <definedName name="__123Graph_CBAR" localSheetId="10" hidden="1">[1]Sheet3!#REF!</definedName>
    <definedName name="__123Graph_CBAR" localSheetId="17" hidden="1">[1]Sheet3!#REF!</definedName>
    <definedName name="__123Graph_CBAR" hidden="1">[1]Sheet3!#REF!</definedName>
    <definedName name="__123Graph_DBAR" localSheetId="9" hidden="1">[1]Sheet3!#REF!</definedName>
    <definedName name="__123Graph_DBAR" localSheetId="10" hidden="1">[1]Sheet3!#REF!</definedName>
    <definedName name="__123Graph_DBAR" localSheetId="17" hidden="1">[1]Sheet3!#REF!</definedName>
    <definedName name="__123Graph_DBAR" hidden="1">[1]Sheet3!#REF!</definedName>
    <definedName name="__123Graph_EBAR" localSheetId="9" hidden="1">[1]Sheet3!#REF!</definedName>
    <definedName name="__123Graph_EBAR" localSheetId="10" hidden="1">[1]Sheet3!#REF!</definedName>
    <definedName name="__123Graph_EBAR" localSheetId="17" hidden="1">[1]Sheet3!#REF!</definedName>
    <definedName name="__123Graph_EBAR" hidden="1">[1]Sheet3!#REF!</definedName>
    <definedName name="__123Graph_FBAR" localSheetId="9" hidden="1">[1]Sheet3!#REF!</definedName>
    <definedName name="__123Graph_FBAR" localSheetId="10" hidden="1">[1]Sheet3!#REF!</definedName>
    <definedName name="__123Graph_FBAR" localSheetId="17" hidden="1">[1]Sheet3!#REF!</definedName>
    <definedName name="__123Graph_FBAR" hidden="1">[1]Sheet3!#REF!</definedName>
    <definedName name="__123Graph_X" localSheetId="9" hidden="1">[1]Sheet3!#REF!</definedName>
    <definedName name="__123Graph_X" localSheetId="10" hidden="1">[1]Sheet3!#REF!</definedName>
    <definedName name="__123Graph_X" localSheetId="17" hidden="1">[1]Sheet3!#REF!</definedName>
    <definedName name="__123Graph_X" hidden="1">[1]Sheet3!#REF!</definedName>
    <definedName name="__123Graph_X1991" localSheetId="9" hidden="1">[1]Sheet3!#REF!</definedName>
    <definedName name="__123Graph_X1991" localSheetId="10" hidden="1">[1]Sheet3!#REF!</definedName>
    <definedName name="__123Graph_X1991" localSheetId="17" hidden="1">[1]Sheet3!#REF!</definedName>
    <definedName name="__123Graph_X1991" hidden="1">[1]Sheet3!#REF!</definedName>
    <definedName name="__123Graph_X1992" localSheetId="9" hidden="1">[1]Sheet3!#REF!</definedName>
    <definedName name="__123Graph_X1992" localSheetId="10" hidden="1">[1]Sheet3!#REF!</definedName>
    <definedName name="__123Graph_X1992" localSheetId="17" hidden="1">[1]Sheet3!#REF!</definedName>
    <definedName name="__123Graph_X1992" hidden="1">[1]Sheet3!#REF!</definedName>
    <definedName name="__123Graph_X1993" localSheetId="9" hidden="1">[1]Sheet3!#REF!</definedName>
    <definedName name="__123Graph_X1993" localSheetId="10" hidden="1">[1]Sheet3!#REF!</definedName>
    <definedName name="__123Graph_X1993" localSheetId="17" hidden="1">[1]Sheet3!#REF!</definedName>
    <definedName name="__123Graph_X1993" hidden="1">[1]Sheet3!#REF!</definedName>
    <definedName name="__123Graph_X1994" localSheetId="9" hidden="1">[1]Sheet3!#REF!</definedName>
    <definedName name="__123Graph_X1994" localSheetId="10" hidden="1">[1]Sheet3!#REF!</definedName>
    <definedName name="__123Graph_X1994" localSheetId="17" hidden="1">[1]Sheet3!#REF!</definedName>
    <definedName name="__123Graph_X1994" hidden="1">[1]Sheet3!#REF!</definedName>
    <definedName name="__123Graph_X1995" localSheetId="9" hidden="1">[1]Sheet3!#REF!</definedName>
    <definedName name="__123Graph_X1995" localSheetId="10" hidden="1">[1]Sheet3!#REF!</definedName>
    <definedName name="__123Graph_X1995" localSheetId="17" hidden="1">[1]Sheet3!#REF!</definedName>
    <definedName name="__123Graph_X1995" hidden="1">[1]Sheet3!#REF!</definedName>
    <definedName name="__123Graph_X1996" localSheetId="9" hidden="1">[1]Sheet3!#REF!</definedName>
    <definedName name="__123Graph_X1996" localSheetId="10" hidden="1">[1]Sheet3!#REF!</definedName>
    <definedName name="__123Graph_X1996" localSheetId="17" hidden="1">[1]Sheet3!#REF!</definedName>
    <definedName name="__123Graph_X1996" hidden="1">[1]Sheet3!#REF!</definedName>
    <definedName name="__tet12" localSheetId="17" hidden="1">{"assumptions",#N/A,FALSE,"Scenario 1";"valuation",#N/A,FALSE,"Scenario 1"}</definedName>
    <definedName name="__tet12" hidden="1">{"assumptions",#N/A,FALSE,"Scenario 1";"valuation",#N/A,FALSE,"Scenario 1"}</definedName>
    <definedName name="__tet5" localSheetId="17" hidden="1">{"assumptions",#N/A,FALSE,"Scenario 1";"valuation",#N/A,FALSE,"Scenario 1"}</definedName>
    <definedName name="__tet5" hidden="1">{"assumptions",#N/A,FALSE,"Scenario 1";"valuation",#N/A,FALSE,"Scenario 1"}</definedName>
    <definedName name="_FEB01" localSheetId="17" hidden="1">{#N/A,#N/A,FALSE,"EMPPAY"}</definedName>
    <definedName name="_FEB01" hidden="1">{#N/A,#N/A,FALSE,"EMPPAY"}</definedName>
    <definedName name="_Fill" localSheetId="9" hidden="1">'[2]Exp Detail'!#REF!</definedName>
    <definedName name="_Fill" localSheetId="10" hidden="1">'[2]Exp Detail'!#REF!</definedName>
    <definedName name="_Fill" hidden="1">'[2]Exp Detail'!#REF!</definedName>
    <definedName name="_JAN01" localSheetId="17" hidden="1">{#N/A,#N/A,FALSE,"EMPPAY"}</definedName>
    <definedName name="_JAN01" hidden="1">{#N/A,#N/A,FALSE,"EMPPAY"}</definedName>
    <definedName name="_JAN2001" localSheetId="17" hidden="1">{#N/A,#N/A,FALSE,"EMPPAY"}</definedName>
    <definedName name="_JAN2001" hidden="1">{#N/A,#N/A,FALSE,"EMPPAY"}</definedName>
    <definedName name="_Key1" localSheetId="9" hidden="1">'[2]Exp Detail'!#REF!</definedName>
    <definedName name="_Key1" localSheetId="10" hidden="1">'[2]Exp Detail'!#REF!</definedName>
    <definedName name="_Key1" hidden="1">'[2]Exp Detail'!#REF!</definedName>
    <definedName name="_Order1" hidden="1">255</definedName>
    <definedName name="_Order2" hidden="1">255</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6" hidden="1">#REF!</definedName>
    <definedName name="_Sort" localSheetId="17" hidden="1">#REF!</definedName>
    <definedName name="_Sort" localSheetId="12" hidden="1">#REF!</definedName>
    <definedName name="_Sort" hidden="1">#REF!</definedName>
    <definedName name="_sort2" localSheetId="7" hidden="1">#REF!</definedName>
    <definedName name="_sort2" localSheetId="8" hidden="1">#REF!</definedName>
    <definedName name="_sort2" localSheetId="9" hidden="1">#REF!</definedName>
    <definedName name="_sort2" localSheetId="10" hidden="1">#REF!</definedName>
    <definedName name="_sort2" localSheetId="16" hidden="1">#REF!</definedName>
    <definedName name="_sort2" localSheetId="17" hidden="1">#REF!</definedName>
    <definedName name="_sort2" localSheetId="12" hidden="1">#REF!</definedName>
    <definedName name="_sort2" hidden="1">#REF!</definedName>
    <definedName name="_tet12" localSheetId="17" hidden="1">{"assumptions",#N/A,FALSE,"Scenario 1";"valuation",#N/A,FALSE,"Scenario 1"}</definedName>
    <definedName name="_tet12"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a" localSheetId="17"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7" hidden="1">{#N/A,#N/A,FALSE,"ARREC"}</definedName>
    <definedName name="DEC00" hidden="1">{#N/A,#N/A,FALSE,"ARREC"}</definedName>
    <definedName name="DocumentName" hidden="1">"b1"</definedName>
    <definedName name="DocumentNum" hidden="1">"a1"</definedName>
    <definedName name="FEB00" localSheetId="17" hidden="1">{#N/A,#N/A,FALSE,"ARREC"}</definedName>
    <definedName name="FEB00" hidden="1">{#N/A,#N/A,FALSE,"ARREC"}</definedName>
    <definedName name="GP">'Act Att-H'!$G$50</definedName>
    <definedName name="Library" hidden="1">"a1"</definedName>
    <definedName name="MAY" localSheetId="17" hidden="1">{#N/A,#N/A,FALSE,"EMPPAY"}</definedName>
    <definedName name="MAY" hidden="1">{#N/A,#N/A,FALSE,"EMPPAY"}</definedName>
    <definedName name="NA">0</definedName>
    <definedName name="NP">'Act Att-H'!$G$66</definedName>
    <definedName name="_xlnm.Print_Area" localSheetId="3">'A2-A&amp;G'!$A$1:$D$38</definedName>
    <definedName name="_xlnm.Print_Area" localSheetId="4">'A3-ADIT'!$A$1:$I$43</definedName>
    <definedName name="_xlnm.Print_Area" localSheetId="8">'A7-IncentPlant'!$A$1:$O$48</definedName>
    <definedName name="_xlnm.Print_Area" localSheetId="1">'Act Att-H'!$A$1:$K$262</definedName>
    <definedName name="_xlnm.Print_Area" localSheetId="13">'P1-Trans Plant'!$A$1:$AA$49</definedName>
    <definedName name="_xlnm.Print_Area" localSheetId="17">'P5-ADIT'!$A$1:$J$175</definedName>
    <definedName name="_xlnm.Print_Area" localSheetId="12">'Proj Att-H'!$A$1:$K$257</definedName>
    <definedName name="_xlnm.Print_Area" localSheetId="11">'TU-TrueUp'!$A$1:$I$66</definedName>
    <definedName name="_xlnm.Print_Titles" localSheetId="13">'P1-Trans Plant'!$A:$F</definedName>
    <definedName name="TE">'Act Att-H'!$I$183</definedName>
    <definedName name="test" localSheetId="17" hidden="1">{"LBO Summary",#N/A,FALSE,"Summary"}</definedName>
    <definedName name="test" hidden="1">{"LBO Summary",#N/A,FALSE,"Summary"}</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7" hidden="1">{"LBO Summary",#N/A,FALSE,"Summary"}</definedName>
    <definedName name="test11" hidden="1">{"LBO Summary",#N/A,FALSE,"Summary"}</definedName>
    <definedName name="test12" localSheetId="17" hidden="1">{"assumptions",#N/A,FALSE,"Scenario 1";"valuation",#N/A,FALSE,"Scenario 1"}</definedName>
    <definedName name="test12" hidden="1">{"assumptions",#N/A,FALSE,"Scenario 1";"valuation",#N/A,FALSE,"Scenario 1"}</definedName>
    <definedName name="test13" localSheetId="17" hidden="1">{"LBO Summary",#N/A,FALSE,"Summary"}</definedName>
    <definedName name="test13" hidden="1">{"LBO Summary",#N/A,FALSE,"Summary"}</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7" hidden="1">{"LBO Summary",#N/A,FALSE,"Summary"}</definedName>
    <definedName name="test2" hidden="1">{"LBO Summary",#N/A,FALSE,"Summary"}</definedName>
    <definedName name="test4" localSheetId="17" hidden="1">{"assumptions",#N/A,FALSE,"Scenario 1";"valuation",#N/A,FALSE,"Scenario 1"}</definedName>
    <definedName name="test4" hidden="1">{"assumptions",#N/A,FALSE,"Scenario 1";"valuation",#N/A,FALSE,"Scenario 1"}</definedName>
    <definedName name="test6" localSheetId="17"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17"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17" hidden="1">{#N/A,#N/A,FALSE,"ARREC"}</definedName>
    <definedName name="wrn.ARREC." hidden="1">{#N/A,#N/A,FALSE,"ARREC"}</definedName>
    <definedName name="wrn.CP._.Demand." localSheetId="17" hidden="1">{"Retail CP pg1",#N/A,FALSE,"FACTOR3";"Retail CP pg2",#N/A,FALSE,"FACTOR3";"Retail CP pg3",#N/A,FALSE,"FACTOR3"}</definedName>
    <definedName name="wrn.CP._.Demand." hidden="1">{"Retail CP pg1",#N/A,FALSE,"FACTOR3";"Retail CP pg2",#N/A,FALSE,"FACTOR3";"Retail CP pg3",#N/A,FALSE,"FACTOR3"}</definedName>
    <definedName name="wrn.CP._.Demand2." localSheetId="17" hidden="1">{"Retail CP pg1",#N/A,FALSE,"FACTOR3";"Retail CP pg2",#N/A,FALSE,"FACTOR3";"Retail CP pg3",#N/A,FALSE,"FACTOR3"}</definedName>
    <definedName name="wrn.CP._.Demand2." hidden="1">{"Retail CP pg1",#N/A,FALSE,"FACTOR3";"Retail CP pg2",#N/A,FALSE,"FACTOR3";"Retail CP pg3",#N/A,FALSE,"FACTOR3"}</definedName>
    <definedName name="wrn.EMPPAY." localSheetId="17" hidden="1">{#N/A,#N/A,FALSE,"EMPPAY"}</definedName>
    <definedName name="wrn.EMPPAY." hidden="1">{#N/A,#N/A,FALSE,"EMPPAY"}</definedName>
    <definedName name="wrn.IPO._.Valuation." localSheetId="17" hidden="1">{"assumptions",#N/A,FALSE,"Scenario 1";"valuation",#N/A,FALSE,"Scenario 1"}</definedName>
    <definedName name="wrn.IPO._.Valuation." hidden="1">{"assumptions",#N/A,FALSE,"Scenario 1";"valuation",#N/A,FALSE,"Scenario 1"}</definedName>
    <definedName name="wrn.LBO._.Summary." localSheetId="17" hidden="1">{"LBO Summary",#N/A,FALSE,"Summary"}</definedName>
    <definedName name="wrn.LBO._.Summary." hidden="1">{"LBO Summary",#N/A,FALSE,"Summary"}</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17" hidden="1">{#N/A,#N/A,FALSE,"EMPPAY"}</definedName>
    <definedName name="xx" hidden="1">{#N/A,#N/A,FALSE,"EMPPAY"}</definedName>
    <definedName name="Z_5C332329_7D4E_4C16_8567_CAD656F9D2F1_.wvu.PrintArea" localSheetId="11" hidden="1">'TU-TrueUp'!$A$2:$N$65</definedName>
    <definedName name="Z_5C332329_7D4E_4C16_8567_CAD656F9D2F1_.wvu.PrintTitles" localSheetId="11" hidden="1">'TU-TrueUp'!$2:$4</definedName>
    <definedName name="Z_F04A2B9A_C6FE_4FEB_AD1E_2CF9AC309BE4_.wvu.PrintArea" localSheetId="5" hidden="1">'A4-Rate Base'!$A$1:$R$120</definedName>
    <definedName name="Z_F04A2B9A_C6FE_4FEB_AD1E_2CF9AC309BE4_.wvu.PrintArea" localSheetId="8" hidden="1">'A7-IncentPlant'!$A$1:$L$129</definedName>
    <definedName name="Z_F04A2B9A_C6FE_4FEB_AD1E_2CF9AC309BE4_.wvu.PrintArea" localSheetId="16" hidden="1">'P4-IncentPlant'!$A$1:$L$135</definedName>
    <definedName name="Z_FAA8FFD9_C96B_4A1B_8B9E_B863FD90DDBA_.wvu.PrintArea" localSheetId="13" hidden="1">'P1-Trans Plant'!$A$1:$AN$46</definedName>
    <definedName name="Z_FAA8FFD9_C96B_4A1B_8B9E_B863FD90DDBA_.wvu.PrintArea" localSheetId="15" hidden="1">'P3-Divisor'!$A$1:$O$30</definedName>
    <definedName name="Z_FAA8FFD9_C96B_4A1B_8B9E_B863FD90DDBA_.wvu.PrintTitles" localSheetId="13"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30" l="1"/>
  <c r="B21" i="30"/>
  <c r="B22" i="30"/>
  <c r="B23" i="30"/>
  <c r="B24" i="30"/>
  <c r="B25" i="30"/>
  <c r="B26" i="30"/>
  <c r="B27" i="30"/>
  <c r="B28" i="30"/>
  <c r="B29" i="30"/>
  <c r="B30" i="30"/>
  <c r="B31" i="30"/>
  <c r="B32" i="30"/>
  <c r="B33" i="30"/>
  <c r="B34" i="30"/>
  <c r="B35" i="30"/>
  <c r="B36" i="30"/>
  <c r="B37" i="30"/>
  <c r="B38" i="30"/>
  <c r="B39" i="30"/>
  <c r="B40" i="30"/>
  <c r="B41" i="30"/>
  <c r="B42" i="30"/>
  <c r="B19" i="30"/>
  <c r="D9" i="31" l="1"/>
  <c r="N26" i="4" l="1"/>
  <c r="E9" i="39" l="1"/>
  <c r="F91" i="23" l="1"/>
  <c r="F92" i="23"/>
  <c r="F93" i="23"/>
  <c r="F94" i="23"/>
  <c r="F95" i="23"/>
  <c r="F96" i="23"/>
  <c r="F97" i="23"/>
  <c r="F98" i="23"/>
  <c r="F99" i="23"/>
  <c r="F100" i="23"/>
  <c r="F101" i="23"/>
  <c r="F102" i="23"/>
  <c r="F103" i="23"/>
  <c r="D212" i="9" l="1"/>
  <c r="I200" i="9"/>
  <c r="D190" i="9"/>
  <c r="D131" i="9"/>
  <c r="D127" i="9"/>
  <c r="D106" i="9"/>
  <c r="F23" i="15" l="1"/>
  <c r="I178" i="9" l="1"/>
  <c r="I82" i="23"/>
  <c r="H82" i="23"/>
  <c r="G82" i="23"/>
  <c r="F82" i="23"/>
  <c r="E82" i="23"/>
  <c r="D82" i="23"/>
  <c r="C46" i="23"/>
  <c r="D25" i="16" l="1"/>
  <c r="D23" i="16"/>
  <c r="I206" i="9" l="1"/>
  <c r="B54" i="25" l="1"/>
  <c r="B55" i="25"/>
  <c r="N25" i="4" l="1"/>
  <c r="D14" i="16" l="1"/>
  <c r="N24" i="4" l="1"/>
  <c r="F110" i="9"/>
  <c r="G213" i="9" l="1"/>
  <c r="G111" i="23" l="1"/>
  <c r="E33" i="39" l="1"/>
  <c r="F11" i="40" l="1"/>
  <c r="F9" i="40"/>
  <c r="H13" i="39" l="1"/>
  <c r="H14" i="39"/>
  <c r="H17" i="39"/>
  <c r="J19" i="29" l="1"/>
  <c r="N19" i="29" l="1"/>
  <c r="G18" i="39" l="1"/>
  <c r="G19" i="39"/>
  <c r="G20" i="39"/>
  <c r="G21" i="39"/>
  <c r="G22" i="39"/>
  <c r="G23" i="39"/>
  <c r="G24" i="39"/>
  <c r="G25" i="39"/>
  <c r="G26" i="39"/>
  <c r="G27" i="39"/>
  <c r="G28" i="39"/>
  <c r="G29" i="39"/>
  <c r="G30" i="39"/>
  <c r="G31" i="39"/>
  <c r="G32" i="39"/>
  <c r="I70" i="23" l="1"/>
  <c r="E34" i="39" s="1"/>
  <c r="E35" i="39" s="1"/>
  <c r="D191" i="25"/>
  <c r="D190" i="25"/>
  <c r="F32" i="15" l="1"/>
  <c r="I32" i="15" s="1"/>
  <c r="F31" i="15"/>
  <c r="I31" i="15" s="1"/>
  <c r="F30" i="15"/>
  <c r="I30" i="15" s="1"/>
  <c r="F29" i="15"/>
  <c r="I29" i="15" s="1"/>
  <c r="F28" i="15"/>
  <c r="I28" i="15" s="1"/>
  <c r="F34" i="15" l="1"/>
  <c r="I34" i="15"/>
  <c r="D80" i="9" s="1"/>
  <c r="H22" i="39" l="1"/>
  <c r="H21" i="39"/>
  <c r="H20" i="39"/>
  <c r="H19" i="39"/>
  <c r="H18" i="39"/>
  <c r="G11" i="40"/>
  <c r="G9" i="40"/>
  <c r="A3" i="40"/>
  <c r="H23" i="39" l="1"/>
  <c r="H24" i="39"/>
  <c r="H25" i="39"/>
  <c r="H26" i="39"/>
  <c r="H27" i="39"/>
  <c r="H28" i="39"/>
  <c r="H29" i="39"/>
  <c r="H30" i="39"/>
  <c r="H31" i="39"/>
  <c r="H32" i="39"/>
  <c r="A3" i="39"/>
  <c r="A44" i="37" l="1"/>
  <c r="H152" i="37" l="1"/>
  <c r="J27" i="37" l="1"/>
  <c r="J135" i="37"/>
  <c r="J26" i="37"/>
  <c r="J98" i="37"/>
  <c r="G113" i="23"/>
  <c r="D143" i="9" s="1"/>
  <c r="J28" i="37" l="1"/>
  <c r="D139" i="25"/>
  <c r="J29" i="37"/>
  <c r="J31" i="37" s="1"/>
  <c r="F21" i="15"/>
  <c r="F20" i="15"/>
  <c r="F19" i="15"/>
  <c r="D69" i="25" l="1"/>
  <c r="F22" i="15"/>
  <c r="F24" i="15" s="1"/>
  <c r="D79" i="9" s="1"/>
  <c r="A19" i="15"/>
  <c r="A20" i="15" s="1"/>
  <c r="A21" i="15" s="1"/>
  <c r="A22" i="15" s="1"/>
  <c r="A23" i="15" s="1"/>
  <c r="A24" i="15" s="1"/>
  <c r="A25" i="15" s="1"/>
  <c r="A26" i="15" s="1"/>
  <c r="A27" i="15" s="1"/>
  <c r="A28" i="15" s="1"/>
  <c r="A29" i="15" s="1"/>
  <c r="A30" i="15" s="1"/>
  <c r="A31" i="15" s="1"/>
  <c r="A32" i="15" s="1"/>
  <c r="A33" i="15" s="1"/>
  <c r="A34" i="15" s="1"/>
  <c r="J168" i="37" l="1"/>
  <c r="J169" i="37" s="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F19" i="37"/>
  <c r="J125" i="37" l="1"/>
  <c r="J91" i="37"/>
  <c r="F58" i="37"/>
  <c r="I58" i="37" s="1"/>
  <c r="J58" i="37" s="1"/>
  <c r="F20" i="37"/>
  <c r="F126" i="37"/>
  <c r="I126" i="37" s="1"/>
  <c r="F66" i="37"/>
  <c r="A50" i="37"/>
  <c r="A51" i="37" s="1"/>
  <c r="A52" i="37" s="1"/>
  <c r="A53" i="37" s="1"/>
  <c r="A54" i="37" s="1"/>
  <c r="A55" i="37" s="1"/>
  <c r="A56" i="37" s="1"/>
  <c r="A57" i="37" s="1"/>
  <c r="A58" i="37" s="1"/>
  <c r="A59" i="37" s="1"/>
  <c r="A60" i="37" s="1"/>
  <c r="A61" i="37" s="1"/>
  <c r="F92" i="37"/>
  <c r="I92" i="37" s="1"/>
  <c r="F159" i="37"/>
  <c r="J126" i="37" l="1"/>
  <c r="J92" i="37"/>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J72" i="37" s="1"/>
  <c r="D66" i="25" s="1"/>
  <c r="A67" i="37"/>
  <c r="J136" i="37"/>
  <c r="J138" i="37" s="1"/>
  <c r="J140" i="37" s="1"/>
  <c r="D68" i="25" s="1"/>
  <c r="A68" i="37" l="1"/>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F72" i="37" l="1"/>
  <c r="A96" i="37"/>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40" i="37" l="1"/>
  <c r="F104" i="23" l="1"/>
  <c r="D104" i="23"/>
  <c r="E104" i="23"/>
  <c r="E84" i="23"/>
  <c r="E83" i="23"/>
  <c r="C104" i="23"/>
  <c r="I203" i="25" l="1"/>
  <c r="I209" i="9"/>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31" i="21" l="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60" i="25"/>
  <c r="F54" i="25"/>
  <c r="F79" i="25" s="1"/>
  <c r="B59" i="25"/>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I81" i="23" l="1"/>
  <c r="I80" i="23"/>
  <c r="I79" i="23"/>
  <c r="I78" i="23"/>
  <c r="I77" i="23"/>
  <c r="I76" i="23"/>
  <c r="A75" i="23"/>
  <c r="D71" i="9"/>
  <c r="D70" i="23"/>
  <c r="D77" i="9" s="1"/>
  <c r="C70" i="23"/>
  <c r="D76" i="9" s="1"/>
  <c r="I46" i="23"/>
  <c r="D57" i="9" s="1"/>
  <c r="H46" i="23"/>
  <c r="D56" i="9" s="1"/>
  <c r="G46" i="23"/>
  <c r="D55" i="9" s="1"/>
  <c r="F46" i="23"/>
  <c r="D54" i="9" s="1"/>
  <c r="E46" i="23"/>
  <c r="D53" i="9" s="1"/>
  <c r="D46" i="23"/>
  <c r="I23" i="23"/>
  <c r="D83" i="9" s="1"/>
  <c r="H23" i="23"/>
  <c r="G23" i="23"/>
  <c r="D49" i="9" s="1"/>
  <c r="F23" i="23"/>
  <c r="D48" i="9" s="1"/>
  <c r="E23" i="23"/>
  <c r="D47" i="9" s="1"/>
  <c r="D23" i="23"/>
  <c r="D46" i="9" s="1"/>
  <c r="C23" i="23"/>
  <c r="D45" i="9" s="1"/>
  <c r="D62" i="9" l="1"/>
  <c r="D64" i="9"/>
  <c r="D58" i="9"/>
  <c r="D229" i="25"/>
  <c r="D50" i="9"/>
  <c r="D231" i="25"/>
  <c r="D63" i="9"/>
  <c r="D233" i="25"/>
  <c r="D65" i="9"/>
  <c r="D78" i="9"/>
  <c r="D81" i="9"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H27" i="21" s="1"/>
  <c r="H29" i="21" s="1"/>
  <c r="H32" i="21"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D111" i="9" l="1"/>
  <c r="D22" i="27" s="1"/>
  <c r="D19" i="31"/>
  <c r="K52" i="4"/>
  <c r="J28" i="26"/>
  <c r="F28" i="26" s="1"/>
  <c r="D31" i="26"/>
  <c r="I31" i="26"/>
  <c r="E31" i="26" s="1"/>
  <c r="X31" i="26" s="1"/>
  <c r="D21" i="27"/>
  <c r="I22" i="9"/>
  <c r="N45" i="4"/>
  <c r="D14" i="25" s="1"/>
  <c r="I14" i="25" s="1"/>
  <c r="J52" i="4"/>
  <c r="G52" i="4"/>
  <c r="H52" i="4"/>
  <c r="L52" i="4"/>
  <c r="I52" i="4"/>
  <c r="M52" i="4"/>
  <c r="F12" i="4"/>
  <c r="D27" i="27" l="1"/>
  <c r="D116" i="9"/>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241" i="25"/>
  <c r="D240" i="25"/>
  <c r="D239" i="25"/>
  <c r="D61" i="9"/>
  <c r="F57" i="9"/>
  <c r="B57" i="9"/>
  <c r="B65" i="9" s="1"/>
  <c r="F56" i="9"/>
  <c r="B56" i="9"/>
  <c r="B64" i="9" s="1"/>
  <c r="F55" i="9"/>
  <c r="B55" i="9"/>
  <c r="B63" i="9" s="1"/>
  <c r="F54" i="9"/>
  <c r="F83" i="9" s="1"/>
  <c r="B54" i="9"/>
  <c r="B62" i="9" s="1"/>
  <c r="F53" i="9"/>
  <c r="B53" i="9"/>
  <c r="B61" i="9" s="1"/>
  <c r="D237" i="25" l="1"/>
  <c r="D66" i="9"/>
  <c r="J41" i="26"/>
  <c r="F41" i="26" s="1"/>
  <c r="F44" i="26" s="1"/>
  <c r="D141" i="9"/>
  <c r="D148" i="9" s="1"/>
  <c r="D214" i="9"/>
  <c r="D215" i="9" s="1"/>
  <c r="E213" i="9" s="1"/>
  <c r="I213" i="9" s="1"/>
  <c r="I202" i="25"/>
  <c r="I205" i="25" s="1"/>
  <c r="I165" i="25"/>
  <c r="I179" i="9"/>
  <c r="I181" i="9" s="1"/>
  <c r="I172" i="9"/>
  <c r="I174" i="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F16" i="40" l="1"/>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F20" i="29" s="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F27" i="29" s="1"/>
  <c r="G49" i="9"/>
  <c r="I49" i="9" s="1"/>
  <c r="G114" i="9"/>
  <c r="G57" i="9"/>
  <c r="G121" i="9"/>
  <c r="K41" i="29"/>
  <c r="F41" i="29" s="1"/>
  <c r="K37" i="29"/>
  <c r="F37" i="29" s="1"/>
  <c r="K33" i="29"/>
  <c r="K29" i="29"/>
  <c r="K25" i="29"/>
  <c r="K21" i="29"/>
  <c r="K40" i="29"/>
  <c r="K36" i="29"/>
  <c r="K32" i="29"/>
  <c r="K28" i="29"/>
  <c r="K24" i="29"/>
  <c r="I48" i="9"/>
  <c r="I54" i="9"/>
  <c r="I62" i="9" s="1"/>
  <c r="I105" i="9"/>
  <c r="F32" i="29" l="1"/>
  <c r="F35" i="29"/>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119" i="9"/>
  <c r="I83" i="9"/>
  <c r="I218" i="9" l="1"/>
  <c r="I64" i="9"/>
  <c r="I66" i="9" s="1"/>
  <c r="G71" i="9"/>
  <c r="G147" i="9"/>
  <c r="G79" i="9"/>
  <c r="G74" i="9"/>
  <c r="G73" i="9"/>
  <c r="G72" i="9"/>
  <c r="I80" i="9"/>
  <c r="D89" i="9"/>
  <c r="I87" i="9"/>
  <c r="G130" i="9"/>
  <c r="I130" i="9" s="1"/>
  <c r="I112" i="9"/>
  <c r="I113" i="9"/>
  <c r="I58" i="9"/>
  <c r="I121" i="9"/>
  <c r="I114" i="9"/>
  <c r="I132" i="9"/>
  <c r="I108" i="9"/>
  <c r="G66" i="9" l="1"/>
  <c r="G8" i="40"/>
  <c r="G10" i="40"/>
  <c r="G13" i="40"/>
  <c r="G12" i="40"/>
  <c r="D91" i="9"/>
  <c r="D153" i="9" s="1"/>
  <c r="D146" i="9" s="1"/>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I81" i="9" l="1"/>
  <c r="I91" i="9" s="1"/>
  <c r="D141" i="25"/>
  <c r="D145" i="25" s="1"/>
  <c r="I145" i="25" s="1"/>
  <c r="D149" i="9"/>
  <c r="I153" i="9" l="1"/>
  <c r="I146" i="9" s="1"/>
  <c r="I149" i="9"/>
  <c r="D150" i="9"/>
  <c r="D155" i="9" s="1"/>
  <c r="I150" i="9" l="1"/>
  <c r="I155" i="9" s="1"/>
  <c r="I168" i="25"/>
  <c r="I170" i="25" s="1"/>
  <c r="I10" i="9" l="1"/>
  <c r="I19" i="9" s="1"/>
  <c r="I73" i="25"/>
  <c r="I63" i="25"/>
  <c r="I72" i="25"/>
  <c r="G67" i="25"/>
  <c r="G230" i="25"/>
  <c r="I230" i="25" s="1"/>
  <c r="G115" i="25"/>
  <c r="G54" i="25"/>
  <c r="G49" i="25"/>
  <c r="G79" i="25"/>
  <c r="I178" i="25"/>
  <c r="E184" i="25"/>
  <c r="G184" i="25" s="1"/>
  <c r="G187" i="25" s="1"/>
  <c r="I187" i="25" s="1"/>
  <c r="D25" i="9" l="1"/>
  <c r="D27" i="9" s="1"/>
  <c r="H21" i="21"/>
  <c r="H23" i="21" s="1"/>
  <c r="G238" i="25"/>
  <c r="I238" i="25" s="1"/>
  <c r="G232" i="25"/>
  <c r="I232" i="25" s="1"/>
  <c r="G109" i="25"/>
  <c r="G104" i="25"/>
  <c r="G108" i="25"/>
  <c r="G55" i="25"/>
  <c r="G106" i="25"/>
  <c r="G50" i="25"/>
  <c r="I54" i="25"/>
  <c r="I49" i="25"/>
  <c r="I191" i="25"/>
  <c r="K191" i="25" s="1"/>
  <c r="I115" i="25"/>
  <c r="I79" i="25"/>
  <c r="D26" i="9" l="1"/>
  <c r="H37" i="21"/>
  <c r="H56" i="21" s="1"/>
  <c r="H53" i="21"/>
  <c r="D29" i="9"/>
  <c r="D31" i="9" s="1"/>
  <c r="D28" i="9"/>
  <c r="D30" i="9" s="1"/>
  <c r="G240" i="25"/>
  <c r="I240" i="25" s="1"/>
  <c r="G110" i="25"/>
  <c r="G233" i="25"/>
  <c r="I59" i="25"/>
  <c r="I50" i="25"/>
  <c r="D25" i="31" l="1"/>
  <c r="D26" i="31" s="1"/>
  <c r="D27" i="31" s="1"/>
  <c r="D29" i="31" s="1"/>
  <c r="D35" i="31" s="1"/>
  <c r="H57" i="21"/>
  <c r="H58" i="21" s="1"/>
  <c r="I19" i="25" s="1"/>
  <c r="G241" i="25"/>
  <c r="I233" i="25"/>
  <c r="I234" i="25" s="1"/>
  <c r="G234" i="25" s="1"/>
  <c r="I55" i="25"/>
  <c r="I60" i="25" s="1"/>
  <c r="I51" i="25"/>
  <c r="D37" i="31" l="1"/>
  <c r="D36" i="31"/>
  <c r="G143" i="25"/>
  <c r="G75" i="25"/>
  <c r="G69" i="25"/>
  <c r="G68" i="25"/>
  <c r="G66" i="25"/>
  <c r="I66" i="25" s="1"/>
  <c r="J99" i="37"/>
  <c r="J100" i="37" s="1"/>
  <c r="I241" i="25"/>
  <c r="I242" i="25" s="1"/>
  <c r="G242" i="25" s="1"/>
  <c r="G61" i="25" s="1"/>
  <c r="G126" i="25"/>
  <c r="G51" i="25"/>
  <c r="I61" i="25"/>
  <c r="I56" i="25"/>
  <c r="G116" i="25"/>
  <c r="G117" i="25"/>
  <c r="I117" i="25" s="1"/>
  <c r="D38" i="31" l="1"/>
  <c r="D40" i="31" s="1"/>
  <c r="D39" i="31"/>
  <c r="D41" i="31" s="1"/>
  <c r="I75" i="25"/>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J106" i="37" s="1"/>
  <c r="D67" i="25" s="1"/>
  <c r="AA30" i="26"/>
  <c r="Y42" i="26"/>
  <c r="I130" i="25"/>
  <c r="G102" i="25"/>
  <c r="G101" i="25"/>
  <c r="G107" i="25"/>
  <c r="G103" i="25"/>
  <c r="AA42" i="26" l="1"/>
  <c r="I101" i="25"/>
  <c r="I102" i="25" l="1"/>
  <c r="I103" i="25"/>
  <c r="I107" i="25"/>
  <c r="I109" i="25" l="1"/>
  <c r="I108" i="25"/>
  <c r="I112" i="25" l="1"/>
  <c r="I82" i="25" s="1"/>
  <c r="I85" i="25" s="1"/>
  <c r="I67" i="25" l="1"/>
  <c r="D144" i="25" l="1"/>
  <c r="I144" i="25" s="1"/>
  <c r="I152" i="37" l="1"/>
  <c r="J152" i="37" s="1"/>
  <c r="H153" i="37"/>
  <c r="H13" i="37" s="1"/>
  <c r="I13" i="37" s="1"/>
  <c r="H12" i="37"/>
  <c r="I153" i="37" l="1"/>
  <c r="J153" i="37" s="1"/>
  <c r="H154" i="37"/>
  <c r="H14" i="37" s="1"/>
  <c r="I14" i="37" s="1"/>
  <c r="I12" i="37"/>
  <c r="H155" i="37" l="1"/>
  <c r="H15" i="37" s="1"/>
  <c r="I15" i="37" s="1"/>
  <c r="I154" i="37"/>
  <c r="J154" i="37" s="1"/>
  <c r="J12" i="37"/>
  <c r="J13" i="37" s="1"/>
  <c r="J14" i="37" s="1"/>
  <c r="J15" i="37" l="1"/>
  <c r="I155" i="37"/>
  <c r="J155" i="37" s="1"/>
  <c r="H156" i="37"/>
  <c r="H16" i="37" s="1"/>
  <c r="I16" i="37" s="1"/>
  <c r="J16" i="37" l="1"/>
  <c r="I156" i="37"/>
  <c r="J156" i="37" s="1"/>
  <c r="H157" i="37"/>
  <c r="H17" i="37" s="1"/>
  <c r="I17" i="37" s="1"/>
  <c r="J17" i="37" l="1"/>
  <c r="H158" i="37"/>
  <c r="H18" i="37" s="1"/>
  <c r="I18" i="37" s="1"/>
  <c r="I157" i="37"/>
  <c r="J157" i="37" s="1"/>
  <c r="J18" i="37" l="1"/>
  <c r="I158" i="37"/>
  <c r="J158" i="37" s="1"/>
  <c r="H159" i="37"/>
  <c r="H19" i="37" s="1"/>
  <c r="I19" i="37" s="1"/>
  <c r="H160" i="37"/>
  <c r="H20" i="37" s="1"/>
  <c r="I20" i="37" s="1"/>
  <c r="J19" i="37" l="1"/>
  <c r="J20" i="37" s="1"/>
  <c r="I159" i="37"/>
  <c r="J159" i="37" s="1"/>
  <c r="I160" i="37"/>
  <c r="H161" i="37"/>
  <c r="H21" i="37" s="1"/>
  <c r="I21" i="37" s="1"/>
  <c r="J21" i="37" l="1"/>
  <c r="J160" i="37"/>
  <c r="H162" i="37"/>
  <c r="H22" i="37" s="1"/>
  <c r="I22" i="37" s="1"/>
  <c r="I161" i="37"/>
  <c r="J22" i="37" l="1"/>
  <c r="J161" i="37"/>
  <c r="I162" i="37"/>
  <c r="H163" i="37"/>
  <c r="H23" i="37" s="1"/>
  <c r="J162" i="37" l="1"/>
  <c r="I23" i="37"/>
  <c r="H24" i="37"/>
  <c r="I163" i="37"/>
  <c r="H164" i="37"/>
  <c r="J163" i="37" l="1"/>
  <c r="J170" i="37" s="1"/>
  <c r="J171" i="37" s="1"/>
  <c r="I24" i="37"/>
  <c r="J23" i="37"/>
  <c r="J32" i="37" s="1"/>
  <c r="J33" i="37" s="1"/>
  <c r="I164" i="37"/>
  <c r="I69" i="25" l="1"/>
  <c r="J35" i="37"/>
  <c r="D70" i="25" s="1"/>
  <c r="J173" i="37"/>
  <c r="J175" i="37" s="1"/>
  <c r="I70" i="25" l="1"/>
  <c r="D76" i="25"/>
  <c r="D77" i="25" s="1"/>
  <c r="I76" i="25" l="1"/>
  <c r="I77" i="25" s="1"/>
  <c r="I87" i="25" s="1"/>
  <c r="D87" i="25"/>
  <c r="D149" i="25" s="1"/>
  <c r="D142" i="25" s="1"/>
  <c r="D146" i="25" s="1"/>
  <c r="D151" i="25" s="1"/>
  <c r="I149" i="25" l="1"/>
  <c r="I142" i="25" s="1"/>
  <c r="I146" i="25" s="1"/>
  <c r="I151" i="25" s="1"/>
  <c r="I10" i="25" s="1"/>
  <c r="I21" i="25" s="1"/>
  <c r="D29" i="25" l="1"/>
  <c r="D30" i="25" s="1"/>
  <c r="I23" i="25"/>
  <c r="D31" i="25" l="1"/>
  <c r="D33" i="25" s="1"/>
  <c r="D35" i="25" s="1"/>
  <c r="D32" i="25" l="1"/>
  <c r="D34" i="25" s="1"/>
</calcChain>
</file>

<file path=xl/sharedStrings.xml><?xml version="1.0" encoding="utf-8"?>
<sst xmlns="http://schemas.openxmlformats.org/spreadsheetml/2006/main" count="2445" uniqueCount="1242">
  <si>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</si>
  <si>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</si>
  <si>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</si>
  <si>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</si>
  <si>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</si>
  <si>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</si>
  <si>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</si>
  <si>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</si>
  <si>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</si>
  <si>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</si>
  <si>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</si>
  <si>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</si>
  <si>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</si>
  <si>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</si>
  <si>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</si>
  <si>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</si>
  <si>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</si>
  <si>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</si>
  <si>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</si>
  <si>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</si>
  <si>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</si>
  <si>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</si>
  <si>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</si>
  <si>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</si>
  <si>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</si>
  <si>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</si>
  <si>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</si>
  <si>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</si>
  <si>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</si>
  <si>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</si>
  <si>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</si>
  <si>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</si>
  <si>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</si>
  <si>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</si>
  <si>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</si>
  <si>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</si>
  <si>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</si>
  <si>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</si>
  <si>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</si>
  <si>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</si>
  <si>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</si>
  <si>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</si>
  <si>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</si>
  <si>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</si>
  <si>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</si>
  <si>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</si>
  <si>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</si>
  <si>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</si>
  <si>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</si>
  <si>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</si>
  <si>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</si>
  <si>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</si>
  <si>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</si>
  <si>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</si>
  <si>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</si>
  <si>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</si>
  <si>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</si>
  <si>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</si>
  <si>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</si>
  <si>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</si>
  <si>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</si>
  <si>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</si>
  <si>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</si>
  <si>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</si>
  <si>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</si>
  <si>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</si>
  <si>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</si>
  <si>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</si>
  <si>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</si>
  <si>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</si>
  <si>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</si>
  <si>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</si>
  <si>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</si>
  <si>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</si>
  <si>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</si>
  <si>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</si>
  <si>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</si>
  <si>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</si>
  <si>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</si>
  <si>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</si>
  <si>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</si>
  <si>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</si>
  <si>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</si>
  <si>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</si>
  <si>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</si>
  <si>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</si>
  <si>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</si>
  <si>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</si>
  <si>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</si>
  <si>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</si>
  <si>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</si>
  <si>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</si>
  <si>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</si>
  <si>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</si>
  <si>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</si>
  <si>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</si>
  <si>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</si>
  <si>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</si>
  <si>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</si>
  <si>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</si>
  <si>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</si>
  <si>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</si>
  <si>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</si>
  <si>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</si>
  <si>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</si>
  <si>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</si>
  <si>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</si>
  <si>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</si>
  <si>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</si>
  <si>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</si>
  <si>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</si>
  <si>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</si>
  <si>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</si>
  <si>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</si>
  <si>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</si>
  <si>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</si>
  <si>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</si>
  <si>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</si>
  <si>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</si>
  <si>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</si>
  <si>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</si>
  <si>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</si>
  <si>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</si>
  <si>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</si>
  <si>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</si>
  <si>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</si>
  <si>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</si>
  <si>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</si>
  <si>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</si>
  <si>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</si>
  <si>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</si>
  <si>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</si>
  <si>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</si>
  <si>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</si>
  <si>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</si>
  <si>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</si>
  <si>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</si>
  <si>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</si>
  <si>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</si>
  <si>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</si>
  <si>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</si>
  <si>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</si>
  <si>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</si>
  <si>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</si>
  <si>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</si>
  <si>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</si>
  <si>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</si>
  <si>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</si>
  <si>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</si>
  <si>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</si>
  <si>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</si>
  <si>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</si>
  <si>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</si>
  <si>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</si>
  <si>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</si>
  <si>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</si>
  <si>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</si>
  <si>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</si>
  <si>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</si>
  <si>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</si>
  <si>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</si>
  <si>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</si>
  <si>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</si>
  <si>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</si>
  <si>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</si>
  <si>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</si>
  <si>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</si>
  <si>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</si>
  <si>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</si>
  <si>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</si>
  <si>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</si>
  <si>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</si>
  <si>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</si>
  <si>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</si>
  <si>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</si>
  <si>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</si>
  <si>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</si>
  <si>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</si>
  <si>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</si>
  <si>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</si>
  <si>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</si>
  <si>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</si>
  <si>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</si>
  <si>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</si>
  <si>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</si>
  <si>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</si>
  <si>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</si>
  <si>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</si>
  <si>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</si>
  <si>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</si>
  <si>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</si>
  <si>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</si>
  <si>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</si>
  <si>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</si>
  <si>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</si>
  <si>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</si>
  <si>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</si>
  <si>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</si>
  <si>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</si>
  <si>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</si>
  <si>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</si>
  <si>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</si>
  <si>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</si>
  <si>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</si>
  <si>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</si>
  <si>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</si>
  <si>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</si>
  <si>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</si>
  <si>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</si>
  <si>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</si>
  <si>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</si>
  <si>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</si>
  <si>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</si>
  <si>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</si>
  <si>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</si>
  <si>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</si>
  <si>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</si>
  <si>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</si>
  <si>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</si>
  <si>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</si>
  <si>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</si>
  <si>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</si>
  <si>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</si>
  <si>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</si>
  <si>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</si>
  <si>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</si>
  <si>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</si>
  <si>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</si>
  <si>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</si>
  <si>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</si>
  <si>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</si>
  <si>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</si>
  <si>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</si>
  <si>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</si>
  <si>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</si>
  <si>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</si>
  <si>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</si>
  <si>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</si>
  <si>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</si>
  <si>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</si>
  <si>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</si>
  <si>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</si>
  <si>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</si>
  <si>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</si>
  <si>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</si>
  <si>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</si>
  <si>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</si>
  <si>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</si>
  <si>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</si>
  <si>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</si>
  <si>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</si>
  <si>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</si>
  <si>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</si>
  <si>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</si>
  <si>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</si>
  <si>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</si>
  <si>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</si>
  <si>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</si>
  <si>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</si>
  <si>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</si>
  <si>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</si>
  <si>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</si>
  <si>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</si>
  <si>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</si>
  <si>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</si>
  <si>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</si>
  <si>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</si>
  <si>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</si>
  <si>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</si>
  <si>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</si>
  <si>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</si>
  <si>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</si>
  <si>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</si>
  <si>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</si>
  <si>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</si>
  <si>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</si>
  <si>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</si>
  <si>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</si>
  <si>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</si>
  <si>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</si>
  <si>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</si>
  <si>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</si>
  <si>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</si>
  <si>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</si>
  <si>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</si>
  <si>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</si>
  <si>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</si>
  <si>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</si>
  <si>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</si>
  <si>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</si>
  <si>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</si>
  <si>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</si>
  <si>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</si>
  <si>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</si>
  <si>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</si>
  <si>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</si>
  <si>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</si>
  <si>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</si>
  <si>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</si>
  <si>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</si>
  <si>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</si>
  <si>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</si>
  <si>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</si>
  <si>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</si>
  <si>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</si>
  <si>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</si>
  <si>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</si>
  <si>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</si>
  <si>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</si>
  <si>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</si>
  <si>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</si>
  <si>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</si>
  <si>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</si>
  <si>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</si>
  <si>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</si>
  <si>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</si>
  <si>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</si>
  <si>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</si>
  <si>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</si>
  <si>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</si>
  <si>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</si>
  <si>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</si>
  <si>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</si>
  <si>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</si>
  <si>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</si>
  <si>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</si>
  <si>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</si>
  <si>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</si>
  <si>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</si>
  <si>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</si>
  <si>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</si>
  <si>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</si>
  <si>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</si>
  <si>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</si>
  <si>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</si>
  <si>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</si>
  <si>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</si>
  <si>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</si>
  <si>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</si>
  <si>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</si>
  <si>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</si>
  <si>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</si>
  <si>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</si>
  <si>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</si>
  <si>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</si>
  <si>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</si>
  <si>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</si>
  <si>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</si>
  <si>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</si>
  <si>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</si>
  <si>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</si>
  <si>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</si>
  <si>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</si>
  <si>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</si>
  <si>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</si>
  <si>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</si>
  <si>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</si>
  <si>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</si>
  <si>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</si>
  <si>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</si>
  <si>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</si>
  <si>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</si>
  <si>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</si>
  <si>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</si>
  <si>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</si>
  <si>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</si>
  <si>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</si>
  <si>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</si>
  <si>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</si>
  <si>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</si>
  <si>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</si>
  <si>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</si>
  <si>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</si>
  <si>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</si>
  <si>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</si>
  <si>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</si>
  <si>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</si>
  <si>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</si>
  <si>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</si>
  <si>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</si>
  <si>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</si>
  <si>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</si>
  <si>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</si>
  <si>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</si>
  <si>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</si>
  <si>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</si>
  <si>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</si>
  <si>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</si>
  <si>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</si>
  <si>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</si>
  <si>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</si>
  <si>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</si>
  <si>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</si>
  <si>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</si>
  <si>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</si>
  <si>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</si>
  <si>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</si>
  <si>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</si>
  <si>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</si>
  <si>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</si>
  <si>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</si>
  <si>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</si>
  <si>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</si>
  <si>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</si>
  <si>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</si>
  <si>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</si>
  <si>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</si>
  <si>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</si>
  <si>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</si>
  <si>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</si>
  <si>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</si>
  <si>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</si>
  <si>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</si>
  <si>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</si>
  <si>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</si>
  <si>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</si>
  <si>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</si>
  <si>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</si>
  <si>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</si>
  <si>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</si>
  <si>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</si>
  <si>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</si>
  <si>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</si>
  <si>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</si>
  <si>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</si>
  <si>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</si>
  <si>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</si>
  <si>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</si>
  <si>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</si>
  <si>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</si>
  <si>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</si>
  <si>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</si>
  <si>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</si>
  <si>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</si>
  <si>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</si>
  <si>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</si>
  <si>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</si>
  <si>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</si>
  <si>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</si>
  <si>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</si>
  <si>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</si>
  <si>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</si>
  <si>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</si>
  <si>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</si>
  <si>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</si>
  <si>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</si>
  <si>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</si>
  <si>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</si>
  <si>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</si>
  <si>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</si>
  <si>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</si>
  <si>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</si>
  <si>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</si>
  <si>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</si>
  <si>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</si>
  <si>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</si>
  <si>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</si>
  <si>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</si>
  <si>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</si>
  <si>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</si>
  <si>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</si>
  <si>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</si>
  <si>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</si>
  <si>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</si>
  <si>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</si>
  <si>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</si>
  <si>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</si>
  <si>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</si>
  <si>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</si>
  <si>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</si>
  <si>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</si>
  <si>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</si>
  <si>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</si>
  <si>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</si>
  <si>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</si>
  <si>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</si>
  <si>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</si>
  <si>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</si>
  <si>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</si>
  <si>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</si>
  <si>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</si>
  <si>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</si>
  <si>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</si>
  <si>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</si>
  <si>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</si>
  <si>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</si>
  <si>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</si>
  <si>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</si>
  <si>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</si>
  <si>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</si>
  <si>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</si>
  <si>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</si>
  <si>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</si>
  <si>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</si>
  <si>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</si>
  <si>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</si>
  <si>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</si>
  <si>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</si>
  <si>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</si>
  <si>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</si>
  <si>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</si>
  <si>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</si>
  <si>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</si>
  <si>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</si>
  <si>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</si>
  <si>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</si>
  <si>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</si>
  <si>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</si>
  <si>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</si>
  <si>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</si>
  <si>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</si>
  <si>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</si>
  <si>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</si>
  <si>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</si>
  <si>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</si>
  <si>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</si>
  <si>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</si>
  <si>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</si>
  <si>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</si>
  <si>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</si>
  <si>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</si>
  <si>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</si>
  <si>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</si>
  <si>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</si>
  <si>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</si>
  <si>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</si>
  <si>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</si>
  <si>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</si>
  <si>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</si>
  <si>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</si>
  <si>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</si>
  <si>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</si>
  <si>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</si>
  <si>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</si>
  <si>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</si>
  <si>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</si>
  <si>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</si>
  <si>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</si>
  <si>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</si>
  <si>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</si>
  <si>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</si>
  <si>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</si>
  <si>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</si>
  <si>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</si>
  <si>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</si>
  <si>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</si>
  <si>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</si>
  <si>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</si>
  <si>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</si>
  <si>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</si>
  <si>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</si>
  <si>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</si>
  <si>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</si>
  <si>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</si>
  <si>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</si>
  <si>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</si>
  <si>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</si>
  <si>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</si>
  <si>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</si>
  <si>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</si>
  <si>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</si>
  <si>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</si>
  <si>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</si>
  <si>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</si>
  <si>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</si>
  <si>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</si>
  <si>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</si>
  <si>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</si>
  <si>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</si>
  <si>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</si>
  <si>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</si>
  <si>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</si>
  <si>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</si>
  <si>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</si>
  <si>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</si>
  <si>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</si>
  <si>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</si>
  <si>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</si>
  <si>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</si>
  <si>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</si>
  <si>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</si>
  <si>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</si>
  <si>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</si>
  <si>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</si>
  <si>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</si>
  <si>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</si>
  <si>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</si>
  <si>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</si>
  <si>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</si>
  <si>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</si>
  <si>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</si>
  <si>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</si>
  <si>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</si>
  <si>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</si>
  <si>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</si>
  <si>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</si>
  <si>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</si>
  <si>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</si>
  <si>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</si>
  <si>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</si>
  <si>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</si>
  <si>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</si>
  <si>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</si>
  <si>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</si>
  <si>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</si>
  <si>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</si>
  <si>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</si>
  <si>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</si>
  <si>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</si>
  <si>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</si>
  <si>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</si>
  <si>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</si>
  <si>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</si>
  <si>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</si>
  <si>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</si>
  <si>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</si>
  <si>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</si>
  <si>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</si>
  <si>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</si>
  <si>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</si>
  <si>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</si>
  <si>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</si>
  <si>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</si>
  <si>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</si>
  <si>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</si>
  <si>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</si>
  <si>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</si>
  <si>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</si>
  <si>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</si>
  <si>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</si>
  <si>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</si>
  <si>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</si>
  <si>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</si>
  <si>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</si>
  <si>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</si>
  <si>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</si>
  <si>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</si>
  <si>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</si>
  <si>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</si>
  <si>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</si>
  <si>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</si>
  <si>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</si>
  <si>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</si>
  <si>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</si>
  <si>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</si>
  <si>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</si>
  <si>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</si>
  <si>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</si>
  <si>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</si>
  <si>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</si>
  <si>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</si>
  <si>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</si>
  <si>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</si>
  <si>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</si>
  <si>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</si>
  <si>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</si>
  <si>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</si>
  <si>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</si>
  <si>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</si>
  <si>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</si>
  <si>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</si>
  <si>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</si>
  <si>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</si>
  <si>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</si>
  <si>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</si>
  <si>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</si>
  <si>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</si>
  <si>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</si>
  <si>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</si>
  <si>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</si>
  <si>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</si>
  <si>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</si>
  <si>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</si>
  <si>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</si>
  <si>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</si>
  <si>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</si>
  <si>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</si>
  <si>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</si>
  <si>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</si>
  <si>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</si>
  <si>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</si>
  <si>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</si>
  <si>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</si>
  <si>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</si>
  <si>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</si>
  <si>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</si>
  <si>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</si>
  <si>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</si>
  <si>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</si>
  <si>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</si>
  <si>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</si>
  <si>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</si>
  <si>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</si>
  <si>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</si>
  <si>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</si>
  <si>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</si>
  <si>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</si>
  <si>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</si>
  <si>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</si>
  <si>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</si>
  <si>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</si>
  <si>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</si>
  <si>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</si>
  <si>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</si>
  <si>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</si>
  <si>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</si>
  <si>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</si>
  <si>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</si>
  <si>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</si>
  <si>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</si>
  <si>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</si>
  <si>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</si>
  <si>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</si>
  <si>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</si>
  <si>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</si>
  <si>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</si>
  <si>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</si>
  <si>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</si>
  <si>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</si>
  <si>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</si>
  <si>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</si>
  <si>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</si>
  <si>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</si>
  <si>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</si>
  <si>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</si>
  <si>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</si>
  <si>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</si>
  <si>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</si>
  <si>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</si>
  <si>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</si>
  <si>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</si>
  <si>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</si>
  <si>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</si>
  <si>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</si>
  <si>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</si>
  <si>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</si>
  <si>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</si>
  <si>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</si>
  <si>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</si>
  <si>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</si>
  <si>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</si>
  <si>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</si>
  <si>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</si>
  <si>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</si>
  <si>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</si>
  <si>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</si>
  <si>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</si>
  <si>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</si>
  <si>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</si>
  <si>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</si>
  <si>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</si>
  <si>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</si>
  <si>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</si>
  <si>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</si>
  <si>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</si>
  <si>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</si>
  <si>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</si>
  <si>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</si>
  <si>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</si>
  <si>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</si>
  <si>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</si>
  <si>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</si>
  <si>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</si>
  <si>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</si>
  <si>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</si>
  <si>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</si>
  <si>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</si>
  <si>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</si>
  <si>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</si>
  <si>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</si>
  <si>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</si>
  <si>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</si>
  <si>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</si>
  <si>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</si>
  <si>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</si>
  <si>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</si>
  <si>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</si>
  <si>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</si>
  <si>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</si>
  <si>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</si>
  <si>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</si>
  <si>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</si>
  <si>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</si>
  <si>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</si>
  <si>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</si>
  <si>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</si>
  <si>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</si>
  <si>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</si>
  <si>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</si>
  <si>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</si>
  <si>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</si>
  <si>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</si>
  <si>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</si>
  <si>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</si>
  <si>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</si>
  <si>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</si>
  <si>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</si>
  <si>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</si>
  <si>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</si>
  <si>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</si>
  <si>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</si>
  <si>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</si>
  <si>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</si>
  <si>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</si>
  <si>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</si>
  <si>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</si>
  <si>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</si>
  <si>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</si>
  <si>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</si>
  <si>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</si>
  <si>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</si>
  <si>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</si>
  <si>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</si>
  <si>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</si>
  <si>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</si>
  <si>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</si>
  <si>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</si>
  <si>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</si>
  <si>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</si>
  <si>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</si>
  <si>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</si>
  <si>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</si>
  <si>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</si>
  <si>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</si>
  <si>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</si>
  <si>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</si>
  <si>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</si>
  <si>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</si>
  <si>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</si>
  <si>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</si>
  <si>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</si>
  <si>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</si>
  <si>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</si>
  <si>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</si>
  <si>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</si>
  <si>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</si>
  <si>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</si>
  <si>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</si>
  <si>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</si>
  <si>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</si>
  <si>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</si>
  <si>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</si>
  <si>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</si>
  <si>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</si>
  <si>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</si>
  <si>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</si>
  <si>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</si>
  <si>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</si>
  <si>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</si>
  <si>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</si>
  <si>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</si>
  <si>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</si>
  <si>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</si>
  <si>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</si>
  <si>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</si>
  <si>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</si>
  <si>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</si>
  <si>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</si>
  <si>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</si>
  <si>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</si>
  <si>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</si>
  <si>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</si>
  <si>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</si>
  <si>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</si>
  <si>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</si>
  <si>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</si>
  <si>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</si>
  <si>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</si>
  <si>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</si>
  <si>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</si>
  <si>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</si>
  <si>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</si>
  <si>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</si>
  <si>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</si>
  <si>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</si>
  <si>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</si>
  <si>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</si>
  <si>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</si>
  <si>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</si>
  <si>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</si>
  <si>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</si>
  <si>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</si>
  <si>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</si>
  <si>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</si>
  <si>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</si>
  <si>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</si>
  <si>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</si>
  <si>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</si>
  <si>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</si>
  <si>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</si>
  <si>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</si>
  <si>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</si>
  <si>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</si>
  <si>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</si>
  <si>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</si>
  <si>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</si>
  <si>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</si>
  <si>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</si>
  <si>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</si>
  <si>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</si>
  <si>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</si>
  <si>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</si>
  <si>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(Line 77 + Line 78)</t>
  </si>
  <si>
    <t>(Line 75 + Line 76)</t>
  </si>
  <si>
    <t>(Line 73 * Line 74)</t>
  </si>
  <si>
    <t>Worksheet A3, Column d, Line 3</t>
  </si>
  <si>
    <t>Act Att-H, page 1 line 2</t>
  </si>
  <si>
    <t>Act Att-H, page 1 line 3</t>
  </si>
  <si>
    <t>Worksheet P3, Line 15</t>
  </si>
  <si>
    <t>Worksheet TU, line 37</t>
  </si>
  <si>
    <t>(Sum of Lines 27-29)</t>
  </si>
  <si>
    <t>(Line 79 - Line 80)</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</si>
  <si>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</si>
  <si>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</si>
  <si>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</si>
  <si>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</si>
  <si>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</si>
  <si>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</si>
  <si>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</si>
  <si>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</si>
  <si>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</si>
  <si>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</si>
  <si>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</si>
  <si>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</si>
  <si>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</si>
  <si>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</si>
  <si>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</si>
  <si>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</si>
  <si>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</si>
  <si>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</si>
  <si>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</si>
  <si>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</si>
  <si>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</si>
  <si>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</si>
  <si>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</si>
  <si>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</si>
  <si>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</si>
  <si>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</si>
  <si>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</si>
  <si>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</si>
  <si>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</si>
  <si>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</si>
  <si>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</si>
  <si>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</si>
  <si>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</si>
  <si>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</si>
  <si>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</si>
  <si>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</si>
  <si>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</si>
  <si>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</si>
  <si>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</si>
  <si>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</si>
  <si>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</si>
  <si>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</si>
  <si>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</si>
  <si>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</si>
  <si>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</si>
  <si>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</si>
  <si>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</si>
  <si>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</si>
  <si>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</si>
  <si>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</si>
  <si>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</si>
  <si>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</si>
  <si>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</si>
  <si>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</si>
  <si>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</si>
  <si>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</si>
  <si>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</si>
  <si>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</si>
  <si>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</si>
  <si>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</si>
  <si>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</si>
  <si>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</si>
  <si>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</si>
  <si>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</si>
  <si>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</si>
  <si>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</si>
  <si>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</si>
  <si>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</si>
  <si>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</si>
  <si>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</si>
  <si>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Note H</t>
  </si>
  <si>
    <t>Page 1 of 5</t>
  </si>
  <si>
    <t>Page 2 of 5</t>
  </si>
  <si>
    <t>Page 3 of 5</t>
  </si>
  <si>
    <t>Page 4 of 5</t>
  </si>
  <si>
    <t>Page 5 of 5</t>
  </si>
  <si>
    <t>Account 254</t>
  </si>
  <si>
    <t>Beginning Balance of Rate Year -1</t>
  </si>
  <si>
    <t xml:space="preserve">Company Records </t>
  </si>
  <si>
    <t>Ending Balance of Rate Year -1</t>
  </si>
  <si>
    <t>Line 119 + Line 120</t>
  </si>
  <si>
    <t xml:space="preserve">Beginning Balance of Rate Year </t>
  </si>
  <si>
    <t>Line 121</t>
  </si>
  <si>
    <t>Line 122 + Line 123</t>
  </si>
  <si>
    <t>Line 124 - Line 125</t>
  </si>
  <si>
    <t xml:space="preserve">  Account No. 255 (enter Zero)</t>
  </si>
  <si>
    <t>FAS 109 Adjustment to ADIT</t>
  </si>
  <si>
    <t xml:space="preserve">  Account No. 255 (enter zero)</t>
  </si>
  <si>
    <t>Amount for Attachment H before Allocation</t>
  </si>
  <si>
    <t>Worksheet P5, Page 5, Line 128, Column H</t>
  </si>
  <si>
    <t>232.1.b &amp; 232.1.f</t>
  </si>
  <si>
    <t>278.1.b &amp; 278.1.f</t>
  </si>
  <si>
    <t>278.3.b &amp; 278.3.f</t>
  </si>
  <si>
    <t>Federal Income Tax Rate</t>
  </si>
  <si>
    <t>2017 Net Plant Allocator</t>
  </si>
  <si>
    <t>2017 Net Plant Allocation Factor</t>
  </si>
  <si>
    <t>(Line 117, Col G)</t>
  </si>
  <si>
    <t>Actual Attachment H, Page 3, Line 24a</t>
  </si>
  <si>
    <t>Line 19 + Line 20</t>
  </si>
  <si>
    <t>(Line 17, Col G)</t>
  </si>
  <si>
    <t>Total Account 190 Beginning Balance</t>
  </si>
  <si>
    <t>(Line 166 * -.21%)</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</si>
  <si>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</si>
  <si>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</si>
  <si>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</si>
  <si>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</si>
  <si>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</si>
  <si>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</si>
  <si>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</si>
  <si>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</si>
  <si>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</si>
  <si>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</si>
  <si>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</si>
  <si>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</si>
  <si>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</si>
  <si>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</si>
  <si>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</si>
  <si>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</si>
  <si>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</si>
  <si>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</si>
  <si>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</si>
  <si>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</si>
  <si>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</si>
  <si>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</si>
  <si>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</si>
  <si>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</si>
  <si>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</si>
  <si>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</si>
  <si>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</si>
  <si>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</si>
  <si>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</si>
  <si>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</si>
  <si>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</si>
  <si>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</si>
  <si>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</si>
  <si>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</si>
  <si>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</si>
  <si>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</si>
  <si>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</si>
  <si>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</si>
  <si>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</si>
  <si>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</si>
  <si>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</si>
  <si>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</si>
  <si>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</si>
  <si>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</si>
  <si>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</si>
  <si>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</si>
  <si>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</si>
  <si>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</si>
  <si>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</si>
  <si>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</si>
  <si>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</si>
  <si>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</si>
  <si>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Total Regulatory Liability - EDFIT - Tax Reform Act of 1986</t>
  </si>
  <si>
    <t>NP2017</t>
  </si>
  <si>
    <t>Reg Liability FAS 109 ITC (enter negative)</t>
  </si>
  <si>
    <t>Reg Liability Retiree HC (enter negative)</t>
  </si>
  <si>
    <t>(Sum of Lines 19 - 25)</t>
  </si>
  <si>
    <t>(Sum of Lines 11 - 21)</t>
  </si>
  <si>
    <t>Allocator (Note C)</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</si>
  <si>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</si>
  <si>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</si>
  <si>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</si>
  <si>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</si>
  <si>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</si>
  <si>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</si>
  <si>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</si>
  <si>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Cheyenne Light may add other Acct 254 items on line 23 and apply an appropriate allocator based on the nature of the item.</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</si>
  <si>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</si>
  <si>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</si>
  <si>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</si>
  <si>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</si>
  <si>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</si>
  <si>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</si>
  <si>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</si>
  <si>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A3, Line 24, Col. (h) </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</si>
  <si>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</si>
  <si>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</si>
  <si>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</si>
  <si>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</si>
  <si>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</si>
  <si>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</si>
  <si>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</si>
  <si>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</si>
  <si>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</si>
  <si>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</si>
  <si>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</si>
  <si>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 xml:space="preserve">The 2017 Net Plant allocator must remain fixed and will not be updated each year.  Cheyenne Light’s intent is to maintain the same functional breakdown of the Excess Deferred Income Tax flow-back amounts that are to be established initially in Docket Nos. ER19-697-000 and EL19-41-000. </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</si>
  <si>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</si>
  <si>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</si>
  <si>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</si>
  <si>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</si>
  <si>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Allocator Value (Note J)</t>
  </si>
  <si>
    <t>Amount of Excess Deferred Income Tax Amortization for Attachment H</t>
  </si>
  <si>
    <t>Amount of Excess Deferred Income Tax Amortization Total Company (Note I)</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</si>
  <si>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</si>
  <si>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</si>
  <si>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</si>
  <si>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</si>
  <si>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</si>
  <si>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</si>
  <si>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</si>
  <si>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</si>
  <si>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</si>
  <si>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</si>
  <si>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</si>
  <si>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</si>
  <si>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</si>
  <si>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</si>
  <si>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</si>
  <si>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</si>
  <si>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</si>
  <si>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</si>
  <si>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</si>
  <si>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</si>
  <si>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</si>
  <si>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</si>
  <si>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</si>
  <si>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</si>
  <si>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</si>
  <si>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</si>
  <si>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</si>
  <si>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The Balance reflecting any amortization for the year is calculated using the proration method shown on Worksheet P5-ADIT Lines 110 - 128.</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</si>
  <si>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</si>
  <si>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(Sum of Lines 19-20)</t>
  </si>
  <si>
    <t>Worksheet A4, Page 3, Line 23, Col. (f) (Note X)</t>
  </si>
  <si>
    <t>201.8.e,f,g,h (Note L)</t>
  </si>
  <si>
    <t>201.14.e,f,g,h (Note L)</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</si>
  <si>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</si>
  <si>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</si>
  <si>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</si>
  <si>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</si>
  <si>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</si>
  <si>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</si>
  <si>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</si>
  <si>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</si>
  <si>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</si>
  <si>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</si>
  <si>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</si>
  <si>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</si>
  <si>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</si>
  <si>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</si>
  <si>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</si>
  <si>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</si>
  <si>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</si>
  <si>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</si>
  <si>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</si>
  <si>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</si>
  <si>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</si>
  <si>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</si>
  <si>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</si>
  <si>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</si>
  <si>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</si>
  <si>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Average Rate Assumption Method</t>
  </si>
  <si>
    <t>Reverse South Georgia</t>
  </si>
  <si>
    <t>5 years Straight Line</t>
  </si>
  <si>
    <t>Amortization Method</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</si>
  <si>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</si>
  <si>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</si>
  <si>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</si>
  <si>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</si>
  <si>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Account 182.3 / 254 (Note F)</t>
  </si>
  <si>
    <t>The net amortization of the regulatory liability for excess deferred income taxes in Account 254 and the associated deferred tax asset in Account 190 is a positive number.  The net amortization of excess deferred income taxes reduces income tax expense by the net amortization amount multiplied by (1/(1-T)) on Attachment H.  The Excess or Deficient ADIT are amortized to Accounts 410.1 / 411.1.</t>
  </si>
  <si>
    <t>Enter the Negatives of the individual amounts comprising the net total excess deferred income tax related balance in Account 254.  In December 2017, the Company remeasured its deferred tax assets and liabilities to the new federal corporate income tax rate of 21%. The result of this remeasurement was a reduction in the net deferred tax liability and a corresponding increase in regulatory liabilities to reflect the return of excess taxes to customers. Account 254 Regulatory Liability for EDIT is presented grossed-up for tax purposes.   This regulatory liability is a temporary difference for which a deferred tax asset is recognized in Account 190.  Cheynne Light would follow the process described above to remeasure ADIT balance (increase or decrease) due to any future income tax rate change.</t>
  </si>
  <si>
    <t>Prior to 2019, the total balance of Acccount 254015 Regulatory Liability for EDIT is per company records.  For 2019 forward, the total balance of Account 254015 Regulatory Liability for EDIT will be as directly shown on Page 278.5 of the Cheyenne Light Form 1.  In each instance, all amounts are exclusive of any non-electric balances.</t>
  </si>
  <si>
    <t>Total Protected Property - EDIT</t>
  </si>
  <si>
    <t>Total Non-Protected Property - EDIT</t>
  </si>
  <si>
    <t>Total Non-Protected Non-Property - EDIT</t>
  </si>
  <si>
    <t>Total Account 182.3 / 254 Regulatory Liability EDIT (Note G)</t>
  </si>
  <si>
    <t xml:space="preserve">Account 254 Regulatory Liabiltiy for EDIT is grossed up for tax purposes.   This regulatory liability is a temporary difference for which a deferred tax asset was recognized in Account 190.  </t>
  </si>
  <si>
    <t>Amortization of Account 190 Deferred Tax Asset on Regulatory Liability for EDIT (Note K)</t>
  </si>
  <si>
    <t>Amortization of Account 254015 Regulatory Liability for EDIT (Note K)</t>
  </si>
  <si>
    <t>Ending Balance of Account 190 for EDIT Tax Gross Up Offset</t>
  </si>
  <si>
    <t>Amount of Tax Gross Up Offset on EDIT</t>
  </si>
  <si>
    <t>Account 190 Not Including EDIT Tax Gross Up</t>
  </si>
  <si>
    <t>Beginning Balance of Account 190 for EDIT Tax Gross Up Offset</t>
  </si>
  <si>
    <t>Total Protected NOL - DDIT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</si>
  <si>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</si>
  <si>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</si>
  <si>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</si>
  <si>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</si>
  <si>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</si>
  <si>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</si>
  <si>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</si>
  <si>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</si>
  <si>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</si>
  <si>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Amortization of Excess Deferred Income Taxes Transmission only</t>
  </si>
  <si>
    <t>Permanent Differences  Transmission only</t>
  </si>
  <si>
    <t xml:space="preserve">  Excess Deferred Fed Income Taxes Transmission Only</t>
  </si>
  <si>
    <t xml:space="preserve">  Excess Deferred Fed Income Taxes (Note C)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</si>
  <si>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</si>
  <si>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</si>
  <si>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</si>
  <si>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</si>
  <si>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</si>
  <si>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</si>
  <si>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</si>
  <si>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</si>
  <si>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</si>
  <si>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</si>
  <si>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</si>
  <si>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</si>
  <si>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</si>
  <si>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</si>
  <si>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</si>
  <si>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</si>
  <si>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</si>
  <si>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</si>
  <si>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yyyy</t>
  </si>
  <si>
    <t>350.b</t>
  </si>
  <si>
    <t>Lease</t>
  </si>
  <si>
    <t>Wygen 2 Ground Lease (Production)</t>
  </si>
  <si>
    <t>Harriman Communication tower lease (Distribution)</t>
  </si>
  <si>
    <t>Horse Creek Site Trunking System Repeater Radio (Distribution)</t>
  </si>
  <si>
    <t xml:space="preserve">Branding </t>
  </si>
  <si>
    <t>Advertising and Promo</t>
  </si>
  <si>
    <t>BHBE System</t>
  </si>
  <si>
    <t>ARH Commodity</t>
  </si>
  <si>
    <t>(Sum of Lines 12-15)</t>
  </si>
  <si>
    <t>NF</t>
  </si>
  <si>
    <t>OS</t>
  </si>
  <si>
    <t>Inventory</t>
  </si>
  <si>
    <t>Maintenance</t>
  </si>
  <si>
    <t>Inventory - CPGS prepayment</t>
  </si>
  <si>
    <t>Maintenance - CPGS prepayment</t>
  </si>
  <si>
    <t>Actuals - For the 12 months ended 12/31/2023</t>
  </si>
  <si>
    <t>Various</t>
  </si>
  <si>
    <t>Estimated - For the 12 months ended 12/31/2025</t>
  </si>
  <si>
    <t>Plant Balances as of Dec 31, 2023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</si>
</sst>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5" tint="0.79998168889431442"/>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5">
    <xf numFmtId="172" fontId="0" fillId="0" borderId="0" applyProtection="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38" fontId="30" fillId="0" borderId="0" applyFont="0" applyFill="0" applyBorder="0" applyAlignment="0" applyProtection="0"/>
    <xf numFmtId="37" fontId="30" fillId="0" borderId="0" applyFont="0" applyFill="0" applyBorder="0" applyAlignment="0" applyProtection="0"/>
    <xf numFmtId="0" fontId="9" fillId="0" borderId="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31" fillId="44"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38" fontId="33" fillId="0" borderId="0" applyBorder="0" applyAlignment="0"/>
    <xf numFmtId="175" fontId="29" fillId="53" borderId="16">
      <alignment horizontal="center" vertical="center"/>
    </xf>
    <xf numFmtId="176" fontId="9" fillId="0" borderId="17">
      <alignment horizontal="left"/>
    </xf>
    <xf numFmtId="0" fontId="34" fillId="0" borderId="0"/>
    <xf numFmtId="0" fontId="35" fillId="36" borderId="0" applyNumberFormat="0" applyBorder="0" applyAlignment="0" applyProtection="0"/>
    <xf numFmtId="0" fontId="36" fillId="0" borderId="0" applyNumberFormat="0" applyFill="0" applyBorder="0" applyAlignment="0" applyProtection="0"/>
    <xf numFmtId="177" fontId="37" fillId="0" borderId="1" applyNumberFormat="0" applyFill="0" applyAlignment="0" applyProtection="0">
      <alignment horizontal="center"/>
    </xf>
    <xf numFmtId="178" fontId="37" fillId="0" borderId="3" applyFill="0" applyAlignment="0" applyProtection="0">
      <alignment horizontal="center"/>
    </xf>
    <xf numFmtId="38" fontId="9" fillId="0" borderId="0">
      <alignment horizontal="right"/>
    </xf>
    <xf numFmtId="37" fontId="38" fillId="0" borderId="0" applyFill="0">
      <alignment horizontal="right"/>
    </xf>
    <xf numFmtId="37" fontId="38" fillId="0" borderId="0">
      <alignment horizontal="right"/>
    </xf>
    <xf numFmtId="0" fontId="38" fillId="0" borderId="0" applyFill="0">
      <alignment horizontal="center"/>
    </xf>
    <xf numFmtId="37" fontId="38" fillId="0" borderId="18" applyFill="0">
      <alignment horizontal="right"/>
    </xf>
    <xf numFmtId="37" fontId="38" fillId="0" borderId="0">
      <alignment horizontal="right"/>
    </xf>
    <xf numFmtId="0" fontId="39" fillId="0" borderId="0" applyFill="0">
      <alignment vertical="top"/>
    </xf>
    <xf numFmtId="0" fontId="40" fillId="0" borderId="0" applyFill="0">
      <alignment horizontal="left" vertical="top"/>
    </xf>
    <xf numFmtId="37" fontId="38" fillId="0" borderId="4" applyFill="0">
      <alignment horizontal="right"/>
    </xf>
    <xf numFmtId="0" fontId="9" fillId="0" borderId="0" applyNumberFormat="0" applyFont="0" applyAlignment="0"/>
    <xf numFmtId="0" fontId="39" fillId="0" borderId="0" applyFill="0">
      <alignment wrapText="1"/>
    </xf>
    <xf numFmtId="0" fontId="40"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2" fillId="0" borderId="0" applyFill="0">
      <alignment vertical="top" wrapText="1"/>
    </xf>
    <xf numFmtId="0" fontId="28" fillId="0" borderId="0" applyFill="0">
      <alignment horizontal="left" vertical="top" wrapText="1"/>
    </xf>
    <xf numFmtId="37" fontId="38" fillId="0" borderId="0" applyFill="0">
      <alignment horizontal="right"/>
    </xf>
    <xf numFmtId="0" fontId="41" fillId="0" borderId="0" applyNumberFormat="0" applyFont="0" applyAlignment="0">
      <alignment horizontal="center"/>
    </xf>
    <xf numFmtId="0" fontId="43" fillId="0" borderId="0" applyFill="0">
      <alignment vertical="center" wrapText="1"/>
    </xf>
    <xf numFmtId="0" fontId="27" fillId="0" borderId="0">
      <alignment horizontal="left" vertical="center" wrapText="1"/>
    </xf>
    <xf numFmtId="37" fontId="38" fillId="0" borderId="0" applyFill="0">
      <alignment horizontal="right"/>
    </xf>
    <xf numFmtId="0" fontId="41" fillId="0" borderId="0" applyNumberFormat="0" applyFont="0" applyAlignment="0">
      <alignment horizontal="center"/>
    </xf>
    <xf numFmtId="0" fontId="44" fillId="0" borderId="0" applyFill="0">
      <alignment horizontal="center" vertical="center" wrapText="1"/>
    </xf>
    <xf numFmtId="0" fontId="9"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37" fontId="45" fillId="0" borderId="0" applyFill="0">
      <alignment horizontal="right"/>
    </xf>
    <xf numFmtId="0" fontId="41" fillId="0" borderId="0" applyNumberFormat="0" applyFont="0" applyAlignment="0">
      <alignment horizontal="center"/>
    </xf>
    <xf numFmtId="0" fontId="48" fillId="0" borderId="0">
      <alignment horizontal="center" wrapText="1"/>
    </xf>
    <xf numFmtId="0" fontId="49" fillId="0" borderId="0" applyFill="0">
      <alignment horizontal="center" wrapText="1"/>
    </xf>
    <xf numFmtId="0" fontId="50" fillId="54" borderId="19" applyNumberFormat="0" applyAlignment="0" applyProtection="0"/>
    <xf numFmtId="0" fontId="51" fillId="55" borderId="20" applyNumberFormat="0" applyAlignment="0" applyProtection="0"/>
    <xf numFmtId="179" fontId="30" fillId="0" borderId="0" applyFont="0" applyFill="0" applyBorder="0" applyAlignment="0" applyProtection="0"/>
    <xf numFmtId="43" fontId="7" fillId="0" borderId="0" applyFont="0" applyFill="0" applyBorder="0" applyAlignment="0" applyProtection="0"/>
    <xf numFmtId="43" fontId="52" fillId="0" borderId="0" applyFont="0" applyFill="0" applyBorder="0" applyAlignment="0" applyProtection="0"/>
    <xf numFmtId="0" fontId="53" fillId="0" borderId="0"/>
    <xf numFmtId="44" fontId="9" fillId="0" borderId="0" applyFont="0" applyFill="0" applyBorder="0" applyAlignment="0" applyProtection="0"/>
    <xf numFmtId="180" fontId="9" fillId="0" borderId="17">
      <alignment horizontal="center"/>
    </xf>
    <xf numFmtId="181" fontId="54" fillId="0" borderId="0" applyFont="0" applyFill="0" applyBorder="0" applyAlignment="0" applyProtection="0"/>
    <xf numFmtId="0" fontId="55" fillId="0" borderId="0" applyNumberFormat="0" applyFill="0" applyBorder="0" applyAlignment="0" applyProtection="0"/>
    <xf numFmtId="182" fontId="9" fillId="0" borderId="0">
      <protection locked="0"/>
    </xf>
    <xf numFmtId="0" fontId="56" fillId="0" borderId="0"/>
    <xf numFmtId="0" fontId="57" fillId="0" borderId="0"/>
    <xf numFmtId="0" fontId="58" fillId="0" borderId="0"/>
    <xf numFmtId="0" fontId="59" fillId="37" borderId="0" applyNumberFormat="0" applyBorder="0" applyAlignment="0" applyProtection="0"/>
    <xf numFmtId="38" fontId="38" fillId="56" borderId="0" applyNumberFormat="0" applyBorder="0" applyAlignment="0" applyProtection="0"/>
    <xf numFmtId="0" fontId="60" fillId="0" borderId="0" applyNumberFormat="0" applyFill="0" applyBorder="0" applyAlignment="0" applyProtection="0"/>
    <xf numFmtId="0" fontId="28" fillId="0" borderId="21" applyNumberFormat="0" applyAlignment="0" applyProtection="0">
      <alignment horizontal="left" vertical="center"/>
    </xf>
    <xf numFmtId="0" fontId="28" fillId="0" borderId="15">
      <alignment horizontal="left" vertical="center"/>
    </xf>
    <xf numFmtId="0" fontId="61" fillId="0" borderId="0">
      <alignment horizontal="center"/>
    </xf>
    <xf numFmtId="0" fontId="62" fillId="0" borderId="22" applyNumberFormat="0" applyFill="0" applyAlignment="0" applyProtection="0"/>
    <xf numFmtId="0" fontId="63" fillId="0" borderId="23" applyNumberFormat="0" applyFill="0" applyAlignment="0" applyProtection="0"/>
    <xf numFmtId="0" fontId="64" fillId="0" borderId="24" applyNumberFormat="0" applyFill="0" applyAlignment="0" applyProtection="0"/>
    <xf numFmtId="0" fontId="64" fillId="0" borderId="0" applyNumberFormat="0" applyFill="0" applyBorder="0" applyAlignment="0" applyProtection="0"/>
    <xf numFmtId="183" fontId="9" fillId="0" borderId="0">
      <protection locked="0"/>
    </xf>
    <xf numFmtId="183" fontId="9" fillId="0" borderId="0">
      <protection locked="0"/>
    </xf>
    <xf numFmtId="0" fontId="65" fillId="0" borderId="25" applyNumberFormat="0" applyFill="0" applyAlignment="0" applyProtection="0"/>
    <xf numFmtId="10" fontId="38" fillId="57" borderId="17" applyNumberFormat="0" applyBorder="0" applyAlignment="0" applyProtection="0"/>
    <xf numFmtId="0" fontId="66" fillId="40" borderId="19" applyNumberFormat="0" applyAlignment="0" applyProtection="0"/>
    <xf numFmtId="0" fontId="38" fillId="56" borderId="0"/>
    <xf numFmtId="0" fontId="67" fillId="0" borderId="26" applyNumberFormat="0" applyFill="0" applyAlignment="0" applyProtection="0"/>
    <xf numFmtId="184" fontId="9" fillId="0" borderId="17">
      <alignment horizontal="center"/>
    </xf>
    <xf numFmtId="185" fontId="68" fillId="0" borderId="0"/>
    <xf numFmtId="17" fontId="69" fillId="0" borderId="0">
      <alignment horizontal="center"/>
    </xf>
    <xf numFmtId="186" fontId="9" fillId="0" borderId="0" applyFont="0" applyFill="0" applyBorder="0" applyAlignment="0" applyProtection="0"/>
    <xf numFmtId="187" fontId="9" fillId="0" borderId="0" applyFont="0" applyFill="0" applyBorder="0" applyAlignment="0" applyProtection="0"/>
    <xf numFmtId="0" fontId="70" fillId="58" borderId="0" applyNumberFormat="0" applyBorder="0" applyAlignment="0" applyProtection="0"/>
    <xf numFmtId="43" fontId="71" fillId="0" borderId="0" applyNumberFormat="0" applyFill="0" applyBorder="0" applyAlignment="0" applyProtection="0"/>
    <xf numFmtId="0" fontId="37" fillId="0" borderId="0" applyNumberFormat="0" applyFill="0" applyAlignment="0" applyProtection="0"/>
    <xf numFmtId="37" fontId="72" fillId="0" borderId="0"/>
    <xf numFmtId="188" fontId="73" fillId="0" borderId="0"/>
    <xf numFmtId="172" fontId="10" fillId="0" borderId="0" applyProtection="0"/>
    <xf numFmtId="0" fontId="9" fillId="0" borderId="0"/>
    <xf numFmtId="0" fontId="7" fillId="0" borderId="0"/>
    <xf numFmtId="0" fontId="52" fillId="0" borderId="0"/>
    <xf numFmtId="0" fontId="9" fillId="0" borderId="17">
      <alignment horizontal="center" wrapText="1"/>
    </xf>
    <xf numFmtId="2" fontId="9" fillId="0" borderId="17">
      <alignment horizontal="center"/>
    </xf>
    <xf numFmtId="189" fontId="74" fillId="0" borderId="17" applyFont="0">
      <alignment horizontal="center"/>
    </xf>
    <xf numFmtId="0" fontId="9" fillId="59" borderId="27" applyNumberFormat="0" applyFont="0" applyAlignment="0" applyProtection="0"/>
    <xf numFmtId="1" fontId="9" fillId="0" borderId="17">
      <alignment horizontal="center"/>
    </xf>
    <xf numFmtId="0" fontId="75" fillId="54" borderId="28" applyNumberFormat="0" applyAlignment="0" applyProtection="0"/>
    <xf numFmtId="10" fontId="9"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76" fillId="0" borderId="1">
      <alignment horizontal="center"/>
    </xf>
    <xf numFmtId="3" fontId="30" fillId="0" borderId="0" applyFont="0" applyFill="0" applyBorder="0" applyAlignment="0" applyProtection="0"/>
    <xf numFmtId="0" fontId="30" fillId="60" borderId="0" applyNumberFormat="0" applyFont="0" applyBorder="0" applyAlignment="0" applyProtection="0"/>
    <xf numFmtId="37" fontId="38" fillId="56" borderId="0" applyFill="0">
      <alignment horizontal="right"/>
    </xf>
    <xf numFmtId="0" fontId="45" fillId="0" borderId="0">
      <alignment horizontal="left"/>
    </xf>
    <xf numFmtId="0" fontId="38" fillId="0" borderId="0" applyFill="0">
      <alignment horizontal="left"/>
    </xf>
    <xf numFmtId="37" fontId="38" fillId="0" borderId="3" applyFill="0">
      <alignment horizontal="right"/>
    </xf>
    <xf numFmtId="0" fontId="74" fillId="0" borderId="17" applyNumberFormat="0" applyFont="0" applyBorder="0">
      <alignment horizontal="right"/>
    </xf>
    <xf numFmtId="0" fontId="77" fillId="0" borderId="0" applyFill="0"/>
    <xf numFmtId="0" fontId="38" fillId="0" borderId="0" applyFill="0">
      <alignment horizontal="left"/>
    </xf>
    <xf numFmtId="190" fontId="38" fillId="0" borderId="3" applyFill="0">
      <alignment horizontal="right"/>
    </xf>
    <xf numFmtId="0" fontId="9" fillId="0" borderId="0" applyNumberFormat="0" applyFont="0" applyBorder="0" applyAlignment="0"/>
    <xf numFmtId="0" fontId="42" fillId="0" borderId="0" applyFill="0">
      <alignment horizontal="left" indent="1"/>
    </xf>
    <xf numFmtId="0" fontId="45" fillId="0" borderId="0" applyFill="0">
      <alignment horizontal="left"/>
    </xf>
    <xf numFmtId="37" fontId="38" fillId="0" borderId="0" applyFill="0">
      <alignment horizontal="right"/>
    </xf>
    <xf numFmtId="0" fontId="9" fillId="0" borderId="0" applyNumberFormat="0" applyFont="0" applyFill="0" applyBorder="0" applyAlignment="0"/>
    <xf numFmtId="0" fontId="42" fillId="0" borderId="0" applyFill="0">
      <alignment horizontal="left" indent="2"/>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78" fillId="0" borderId="0">
      <alignment horizontal="left" indent="3"/>
    </xf>
    <xf numFmtId="0" fontId="38" fillId="0" borderId="0" applyFill="0">
      <alignment horizontal="left"/>
    </xf>
    <xf numFmtId="37" fontId="38" fillId="0" borderId="0" applyFill="0">
      <alignment horizontal="right"/>
    </xf>
    <xf numFmtId="0" fontId="9" fillId="0" borderId="0" applyNumberFormat="0" applyFont="0" applyBorder="0" applyAlignment="0"/>
    <xf numFmtId="0" fontId="44" fillId="0" borderId="0">
      <alignment horizontal="left" indent="4"/>
    </xf>
    <xf numFmtId="0" fontId="38" fillId="0" borderId="0" applyFill="0">
      <alignment horizontal="left"/>
    </xf>
    <xf numFmtId="37" fontId="45" fillId="0" borderId="0" applyFill="0">
      <alignment horizontal="right"/>
    </xf>
    <xf numFmtId="0" fontId="9" fillId="0" borderId="0" applyNumberFormat="0" applyFont="0" applyBorder="0" applyAlignment="0"/>
    <xf numFmtId="0" fontId="46" fillId="0" borderId="0">
      <alignment horizontal="left" indent="5"/>
    </xf>
    <xf numFmtId="0" fontId="45" fillId="0" borderId="0" applyFill="0">
      <alignment horizontal="left"/>
    </xf>
    <xf numFmtId="37" fontId="45" fillId="0" borderId="0" applyFill="0">
      <alignment horizontal="right"/>
    </xf>
    <xf numFmtId="0" fontId="9" fillId="0" borderId="0" applyNumberFormat="0" applyFont="0" applyFill="0" applyBorder="0" applyAlignment="0"/>
    <xf numFmtId="0" fontId="48" fillId="0" borderId="0" applyFill="0">
      <alignment horizontal="left" indent="6"/>
    </xf>
    <xf numFmtId="0" fontId="45" fillId="0" borderId="0" applyFill="0">
      <alignment horizontal="left"/>
    </xf>
    <xf numFmtId="38" fontId="79" fillId="2" borderId="3">
      <alignment horizontal="right"/>
    </xf>
    <xf numFmtId="38" fontId="9" fillId="61" borderId="0" applyNumberFormat="0" applyFont="0" applyBorder="0" applyAlignment="0" applyProtection="0"/>
    <xf numFmtId="0" fontId="80" fillId="0" borderId="0" applyNumberFormat="0" applyAlignment="0">
      <alignment horizontal="centerContinuous"/>
    </xf>
    <xf numFmtId="0" fontId="37" fillId="0" borderId="3" applyNumberFormat="0" applyFill="0" applyAlignment="0" applyProtection="0"/>
    <xf numFmtId="37" fontId="81" fillId="0" borderId="0" applyNumberFormat="0">
      <alignment horizontal="left"/>
    </xf>
    <xf numFmtId="191" fontId="9" fillId="0" borderId="17">
      <alignment horizontal="center" wrapText="1"/>
    </xf>
    <xf numFmtId="38" fontId="30" fillId="0" borderId="0" applyFont="0" applyFill="0" applyBorder="0" applyAlignment="0" applyProtection="0"/>
    <xf numFmtId="38" fontId="30" fillId="0" borderId="0" applyFont="0" applyFill="0" applyBorder="0" applyAlignment="0" applyProtection="0"/>
    <xf numFmtId="0" fontId="9" fillId="0" borderId="0" applyNumberFormat="0" applyFill="0" applyBorder="0" applyProtection="0">
      <alignment horizontal="right" wrapText="1"/>
    </xf>
    <xf numFmtId="192" fontId="9" fillId="0" borderId="0" applyFill="0" applyBorder="0" applyAlignment="0" applyProtection="0">
      <alignment wrapText="1"/>
    </xf>
    <xf numFmtId="37" fontId="82" fillId="0" borderId="0" applyNumberFormat="0">
      <alignment horizontal="left"/>
    </xf>
    <xf numFmtId="37" fontId="83" fillId="0" borderId="0" applyNumberFormat="0">
      <alignment horizontal="left"/>
    </xf>
    <xf numFmtId="37" fontId="84" fillId="0" borderId="0" applyNumberFormat="0">
      <alignment horizontal="left"/>
    </xf>
    <xf numFmtId="185" fontId="85" fillId="0" borderId="0"/>
    <xf numFmtId="40" fontId="86" fillId="0" borderId="0"/>
    <xf numFmtId="0" fontId="87" fillId="0" borderId="0" applyNumberFormat="0" applyFill="0" applyBorder="0" applyAlignment="0" applyProtection="0"/>
    <xf numFmtId="0" fontId="88" fillId="0" borderId="29" applyNumberFormat="0" applyFill="0" applyAlignment="0" applyProtection="0"/>
    <xf numFmtId="37" fontId="38" fillId="2" borderId="0" applyNumberFormat="0" applyBorder="0" applyAlignment="0" applyProtection="0"/>
    <xf numFmtId="37" fontId="38" fillId="0" borderId="0"/>
    <xf numFmtId="3" fontId="89" fillId="0" borderId="25" applyProtection="0"/>
    <xf numFmtId="0" fontId="90" fillId="0" borderId="0" applyNumberForma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20"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91"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91"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91" fillId="32"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9"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13"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91" fillId="2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92"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92"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92"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92"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92"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93"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94" fillId="8"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20" fillId="64" borderId="8"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0" fillId="64" borderId="19"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95"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22" fillId="9" borderId="11"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0" fontId="51" fillId="55" borderId="20" applyNumberFormat="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1"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9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8"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59" fillId="37" borderId="0" applyNumberFormat="0" applyBorder="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0"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99" fillId="0" borderId="30"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2" fillId="0" borderId="6"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3" fillId="0" borderId="31"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1" fillId="0" borderId="2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4" fillId="0" borderId="7"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32"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alignment vertical="top"/>
      <protection locked="0"/>
    </xf>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106" fillId="7"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18" fillId="58" borderId="8"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6" fillId="58" borderId="19" applyNumberFormat="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107"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21" fillId="0" borderId="10"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67" fillId="0" borderId="26" applyNumberFormat="0" applyFill="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108"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70" fillId="5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7" fillId="0" borderId="0"/>
    <xf numFmtId="0" fontId="7"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1" fillId="10" borderId="12"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9" fillId="59" borderId="27" applyNumberFormat="0" applyFon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110" fillId="8"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19" fillId="64" borderId="9"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0" fontId="75" fillId="64" borderId="2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112"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25" fillId="0" borderId="13"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88" fillId="0" borderId="3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2" fontId="10" fillId="0" borderId="0" applyProtection="0"/>
    <xf numFmtId="0" fontId="29" fillId="0" borderId="0"/>
    <xf numFmtId="0" fontId="9" fillId="0" borderId="0"/>
    <xf numFmtId="194" fontId="9" fillId="65" borderId="0" applyNumberFormat="0" applyFill="0" applyBorder="0" applyAlignment="0" applyProtection="0">
      <alignment horizontal="right" vertical="center"/>
    </xf>
    <xf numFmtId="194" fontId="65" fillId="0" borderId="0" applyNumberFormat="0" applyFill="0" applyBorder="0" applyAlignment="0" applyProtection="0"/>
    <xf numFmtId="0" fontId="9" fillId="0" borderId="3" applyNumberFormat="0" applyFont="0" applyFill="0" applyAlignment="0" applyProtection="0"/>
    <xf numFmtId="195" fontId="8" fillId="0" borderId="0" applyFont="0" applyFill="0" applyBorder="0" applyAlignment="0" applyProtection="0"/>
    <xf numFmtId="37" fontId="114" fillId="0" borderId="0" applyFont="0" applyFill="0" applyBorder="0" applyAlignment="0" applyProtection="0">
      <alignment vertical="center"/>
      <protection locked="0"/>
    </xf>
    <xf numFmtId="196" fontId="29" fillId="0" borderId="0" applyFont="0" applyFill="0" applyBorder="0" applyAlignment="0" applyProtection="0"/>
    <xf numFmtId="0" fontId="115" fillId="0" borderId="0"/>
    <xf numFmtId="0" fontId="9" fillId="0" borderId="0" applyFill="0">
      <alignment horizontal="center" vertical="center" wrapText="1"/>
    </xf>
    <xf numFmtId="185" fontId="116" fillId="0" borderId="0" applyFont="0" applyFill="0" applyBorder="0" applyAlignment="0" applyProtection="0">
      <protection locked="0"/>
    </xf>
    <xf numFmtId="197" fontId="116" fillId="0" borderId="0" applyFont="0" applyFill="0" applyBorder="0" applyAlignment="0" applyProtection="0">
      <protection locked="0"/>
    </xf>
    <xf numFmtId="39" fontId="9" fillId="0" borderId="0" applyFont="0" applyFill="0" applyBorder="0" applyAlignment="0" applyProtection="0"/>
    <xf numFmtId="198" fontId="117" fillId="0" borderId="0" applyFont="0" applyFill="0" applyBorder="0" applyAlignment="0" applyProtection="0"/>
    <xf numFmtId="199" fontId="29" fillId="0" borderId="0" applyFont="0" applyFill="0" applyBorder="0" applyAlignment="0" applyProtection="0"/>
    <xf numFmtId="0" fontId="9" fillId="0" borderId="3" applyNumberFormat="0" applyFont="0" applyFill="0" applyBorder="0" applyProtection="0">
      <alignment horizontal="centerContinuous" vertical="center"/>
    </xf>
    <xf numFmtId="0" fontId="118" fillId="0" borderId="0" applyFill="0" applyBorder="0" applyProtection="0">
      <alignment horizontal="center"/>
      <protection locked="0"/>
    </xf>
    <xf numFmtId="41" fontId="91" fillId="0" borderId="0" applyFont="0" applyFill="0" applyBorder="0" applyAlignment="0" applyProtection="0"/>
    <xf numFmtId="41" fontId="7" fillId="0" borderId="0" applyFont="0" applyFill="0" applyBorder="0" applyAlignment="0" applyProtection="0"/>
    <xf numFmtId="200" fontId="37" fillId="0" borderId="0" applyFont="0" applyFill="0" applyBorder="0" applyAlignment="0" applyProtection="0"/>
    <xf numFmtId="201" fontId="119" fillId="0" borderId="0" applyFont="0" applyFill="0" applyBorder="0" applyAlignment="0" applyProtection="0"/>
    <xf numFmtId="202" fontId="119" fillId="0" borderId="0" applyFont="0" applyFill="0" applyBorder="0" applyAlignment="0" applyProtection="0"/>
    <xf numFmtId="203" fontId="120" fillId="0" borderId="0" applyFont="0" applyFill="0" applyBorder="0" applyAlignment="0" applyProtection="0">
      <protection locked="0"/>
    </xf>
    <xf numFmtId="3" fontId="9" fillId="0" borderId="0" applyFont="0" applyFill="0" applyBorder="0" applyAlignment="0" applyProtection="0"/>
    <xf numFmtId="0" fontId="40" fillId="0" borderId="0" applyFill="0" applyBorder="0" applyAlignment="0" applyProtection="0">
      <protection locked="0"/>
    </xf>
    <xf numFmtId="0" fontId="9" fillId="0" borderId="35"/>
    <xf numFmtId="204" fontId="119" fillId="0" borderId="0" applyFont="0" applyFill="0" applyBorder="0" applyAlignment="0" applyProtection="0"/>
    <xf numFmtId="205" fontId="119" fillId="0" borderId="0" applyFont="0" applyFill="0" applyBorder="0" applyAlignment="0" applyProtection="0"/>
    <xf numFmtId="206" fontId="119" fillId="0" borderId="0" applyFont="0" applyFill="0" applyBorder="0" applyAlignment="0" applyProtection="0"/>
    <xf numFmtId="207" fontId="120" fillId="0" borderId="0" applyFont="0" applyFill="0" applyBorder="0" applyAlignment="0" applyProtection="0">
      <protection locked="0"/>
    </xf>
    <xf numFmtId="5" fontId="9" fillId="0" borderId="0" applyFont="0" applyFill="0" applyBorder="0" applyAlignment="0" applyProtection="0"/>
    <xf numFmtId="5" fontId="9" fillId="0" borderId="0" applyFont="0" applyFill="0" applyBorder="0" applyAlignment="0" applyProtection="0"/>
    <xf numFmtId="208" fontId="29" fillId="0" borderId="0" applyFont="0" applyFill="0" applyBorder="0" applyAlignment="0" applyProtection="0"/>
    <xf numFmtId="209" fontId="9" fillId="0" borderId="0" applyFont="0" applyFill="0" applyBorder="0" applyAlignment="0" applyProtection="0"/>
    <xf numFmtId="210" fontId="116" fillId="0" borderId="0" applyFont="0" applyFill="0" applyBorder="0" applyAlignment="0" applyProtection="0">
      <protection locked="0"/>
    </xf>
    <xf numFmtId="7" fontId="38" fillId="0" borderId="0" applyFont="0" applyFill="0" applyBorder="0" applyAlignment="0" applyProtection="0"/>
    <xf numFmtId="211" fontId="117" fillId="0" borderId="0" applyFont="0" applyFill="0" applyBorder="0" applyAlignment="0" applyProtection="0"/>
    <xf numFmtId="212" fontId="121" fillId="0" borderId="0" applyFont="0" applyFill="0" applyBorder="0" applyAlignment="0" applyProtection="0"/>
    <xf numFmtId="0" fontId="122" fillId="66" borderId="36" applyNumberFormat="0" applyFont="0" applyFill="0" applyAlignment="0" applyProtection="0">
      <alignment horizontal="left" indent="1"/>
    </xf>
    <xf numFmtId="5" fontId="123" fillId="0" borderId="0" applyBorder="0"/>
    <xf numFmtId="209" fontId="123" fillId="0" borderId="0" applyBorder="0"/>
    <xf numFmtId="7" fontId="123" fillId="0" borderId="0" applyBorder="0"/>
    <xf numFmtId="37" fontId="123" fillId="0" borderId="0" applyBorder="0"/>
    <xf numFmtId="185" fontId="123" fillId="0" borderId="0" applyBorder="0"/>
    <xf numFmtId="213" fontId="123" fillId="0" borderId="0" applyBorder="0"/>
    <xf numFmtId="39" fontId="123" fillId="0" borderId="0" applyBorder="0"/>
    <xf numFmtId="214" fontId="123" fillId="0" borderId="0" applyBorder="0"/>
    <xf numFmtId="7" fontId="9" fillId="0" borderId="0" applyFont="0" applyFill="0" applyBorder="0" applyAlignment="0" applyProtection="0"/>
    <xf numFmtId="215" fontId="29" fillId="0" borderId="0" applyFont="0" applyFill="0" applyBorder="0" applyAlignment="0" applyProtection="0"/>
    <xf numFmtId="216" fontId="29" fillId="0" borderId="0" applyFont="0" applyFill="0" applyAlignment="0" applyProtection="0"/>
    <xf numFmtId="215" fontId="29" fillId="0" borderId="0" applyFont="0" applyFill="0" applyBorder="0" applyAlignment="0" applyProtection="0"/>
    <xf numFmtId="185" fontId="124" fillId="0" borderId="0" applyNumberFormat="0" applyFill="0" applyBorder="0" applyAlignment="0" applyProtection="0"/>
    <xf numFmtId="0" fontId="38" fillId="0" borderId="0" applyFont="0" applyFill="0" applyBorder="0" applyAlignment="0" applyProtection="0"/>
    <xf numFmtId="0" fontId="124" fillId="0" borderId="0" applyNumberFormat="0" applyFill="0" applyBorder="0" applyAlignment="0" applyProtection="0"/>
    <xf numFmtId="0" fontId="118" fillId="0" borderId="0" applyFill="0" applyAlignment="0" applyProtection="0">
      <protection locked="0"/>
    </xf>
    <xf numFmtId="0" fontId="118" fillId="0" borderId="3" applyFill="0" applyAlignment="0" applyProtection="0">
      <protection locked="0"/>
    </xf>
    <xf numFmtId="0" fontId="125" fillId="0" borderId="3" applyNumberFormat="0" applyFill="0" applyAlignment="0" applyProtection="0"/>
    <xf numFmtId="0" fontId="126" fillId="62" borderId="17" applyNumberFormat="0" applyAlignment="0" applyProtection="0"/>
    <xf numFmtId="5" fontId="127" fillId="0" borderId="0" applyBorder="0"/>
    <xf numFmtId="209" fontId="127" fillId="0" borderId="0" applyBorder="0"/>
    <xf numFmtId="7" fontId="127" fillId="0" borderId="0" applyBorder="0"/>
    <xf numFmtId="37" fontId="127" fillId="0" borderId="0" applyBorder="0"/>
    <xf numFmtId="185" fontId="127" fillId="0" borderId="0" applyBorder="0"/>
    <xf numFmtId="213" fontId="127" fillId="0" borderId="0" applyBorder="0"/>
    <xf numFmtId="39" fontId="127" fillId="0" borderId="0" applyBorder="0"/>
    <xf numFmtId="214" fontId="127" fillId="0" borderId="0" applyBorder="0"/>
    <xf numFmtId="0" fontId="128" fillId="0" borderId="37" applyNumberFormat="0" applyFont="0" applyFill="0" applyAlignment="0" applyProtection="0"/>
    <xf numFmtId="217" fontId="9"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221" fontId="9" fillId="0" borderId="0" applyFont="0" applyFill="0" applyBorder="0" applyAlignment="0" applyProtection="0"/>
    <xf numFmtId="0" fontId="9" fillId="0" borderId="0"/>
    <xf numFmtId="222" fontId="9" fillId="0" borderId="0" applyFont="0" applyFill="0" applyBorder="0" applyAlignment="0" applyProtection="0"/>
    <xf numFmtId="223" fontId="96" fillId="67" borderId="0" applyFont="0" applyFill="0" applyBorder="0" applyAlignment="0" applyProtection="0"/>
    <xf numFmtId="224" fontId="96" fillId="67" borderId="0" applyFont="0" applyFill="0" applyBorder="0" applyAlignment="0" applyProtection="0"/>
    <xf numFmtId="225" fontId="9" fillId="0" borderId="0" applyFont="0" applyFill="0" applyBorder="0" applyAlignment="0" applyProtection="0"/>
    <xf numFmtId="226" fontId="119" fillId="0" borderId="0" applyFont="0" applyFill="0" applyBorder="0" applyAlignment="0" applyProtection="0"/>
    <xf numFmtId="227" fontId="37" fillId="0" borderId="0" applyFont="0" applyFill="0" applyBorder="0" applyAlignment="0" applyProtection="0"/>
    <xf numFmtId="228" fontId="9" fillId="0" borderId="0" applyFont="0" applyFill="0" applyBorder="0" applyAlignment="0" applyProtection="0"/>
    <xf numFmtId="229" fontId="119" fillId="0" borderId="0" applyFont="0" applyFill="0" applyBorder="0" applyAlignment="0" applyProtection="0"/>
    <xf numFmtId="230" fontId="37" fillId="0" borderId="0" applyFont="0" applyFill="0" applyBorder="0" applyAlignment="0" applyProtection="0"/>
    <xf numFmtId="231" fontId="119" fillId="0" borderId="0" applyFont="0" applyFill="0" applyBorder="0" applyAlignment="0" applyProtection="0"/>
    <xf numFmtId="232" fontId="37" fillId="0" borderId="0" applyFont="0" applyFill="0" applyBorder="0" applyAlignment="0" applyProtection="0"/>
    <xf numFmtId="233" fontId="119" fillId="0" borderId="0" applyFont="0" applyFill="0" applyBorder="0" applyAlignment="0" applyProtection="0"/>
    <xf numFmtId="234" fontId="37" fillId="0" borderId="0" applyFont="0" applyFill="0" applyBorder="0" applyAlignment="0" applyProtection="0"/>
    <xf numFmtId="235" fontId="120" fillId="0" borderId="0" applyFont="0" applyFill="0" applyBorder="0" applyAlignment="0" applyProtection="0">
      <protection locked="0"/>
    </xf>
    <xf numFmtId="236" fontId="37" fillId="0" borderId="0" applyFont="0" applyFill="0" applyBorder="0" applyAlignment="0" applyProtection="0"/>
    <xf numFmtId="9" fontId="9" fillId="0" borderId="0" applyFont="0" applyFill="0" applyBorder="0" applyAlignment="0" applyProtection="0"/>
    <xf numFmtId="9" fontId="29" fillId="0" borderId="0" applyFont="0" applyFill="0" applyBorder="0" applyAlignment="0" applyProtection="0"/>
    <xf numFmtId="9" fontId="91" fillId="0" borderId="0" applyFont="0" applyFill="0" applyBorder="0" applyAlignment="0" applyProtection="0"/>
    <xf numFmtId="9" fontId="7" fillId="0" borderId="0" applyFont="0" applyFill="0" applyBorder="0" applyAlignment="0" applyProtection="0"/>
    <xf numFmtId="9" fontId="123" fillId="0" borderId="0" applyBorder="0"/>
    <xf numFmtId="237" fontId="123" fillId="0" borderId="0" applyBorder="0"/>
    <xf numFmtId="10" fontId="123" fillId="0" borderId="0" applyBorder="0"/>
    <xf numFmtId="3" fontId="9" fillId="0" borderId="0">
      <alignment horizontal="left" vertical="top"/>
    </xf>
    <xf numFmtId="3" fontId="9" fillId="0" borderId="0">
      <alignment horizontal="right" vertical="top"/>
    </xf>
    <xf numFmtId="0" fontId="9" fillId="0" borderId="0" applyFill="0">
      <alignment horizontal="left" indent="4"/>
    </xf>
    <xf numFmtId="0" fontId="128" fillId="0" borderId="38" applyNumberFormat="0" applyFont="0" applyFill="0" applyAlignment="0" applyProtection="0"/>
    <xf numFmtId="0" fontId="129" fillId="0" borderId="0" applyNumberFormat="0" applyFill="0" applyBorder="0" applyAlignment="0" applyProtection="0"/>
    <xf numFmtId="0" fontId="130" fillId="0" borderId="0"/>
    <xf numFmtId="0" fontId="40" fillId="68" borderId="0"/>
    <xf numFmtId="0" fontId="9" fillId="56" borderId="35" applyNumberFormat="0" applyFont="0" applyAlignment="0"/>
    <xf numFmtId="0" fontId="128" fillId="66" borderId="0" applyNumberFormat="0" applyFont="0" applyBorder="0" applyAlignment="0" applyProtection="0"/>
    <xf numFmtId="223" fontId="131" fillId="0" borderId="15" applyNumberFormat="0" applyFont="0" applyFill="0" applyAlignment="0" applyProtection="0"/>
    <xf numFmtId="0" fontId="132" fillId="0" borderId="0" applyFill="0" applyBorder="0" applyProtection="0">
      <alignment horizontal="left" vertical="top"/>
    </xf>
    <xf numFmtId="0" fontId="9" fillId="0" borderId="4" applyNumberFormat="0" applyFont="0" applyFill="0" applyAlignment="0" applyProtection="0"/>
    <xf numFmtId="0" fontId="133" fillId="0" borderId="0" applyNumberFormat="0" applyFill="0" applyBorder="0" applyAlignment="0" applyProtection="0"/>
    <xf numFmtId="238" fontId="37" fillId="0" borderId="0" applyFont="0" applyFill="0" applyBorder="0" applyAlignment="0" applyProtection="0"/>
    <xf numFmtId="239" fontId="37" fillId="0" borderId="0" applyFont="0" applyFill="0" applyBorder="0" applyAlignment="0" applyProtection="0"/>
    <xf numFmtId="240" fontId="37" fillId="0" borderId="0" applyFont="0" applyFill="0" applyBorder="0" applyAlignment="0" applyProtection="0"/>
    <xf numFmtId="241" fontId="37" fillId="0" borderId="0" applyFont="0" applyFill="0" applyBorder="0" applyAlignment="0" applyProtection="0"/>
    <xf numFmtId="242" fontId="37" fillId="0" borderId="0" applyFont="0" applyFill="0" applyBorder="0" applyAlignment="0" applyProtection="0"/>
    <xf numFmtId="243" fontId="37" fillId="0" borderId="0" applyFont="0" applyFill="0" applyBorder="0" applyAlignment="0" applyProtection="0"/>
    <xf numFmtId="244" fontId="37" fillId="0" borderId="0" applyFont="0" applyFill="0" applyBorder="0" applyAlignment="0" applyProtection="0"/>
    <xf numFmtId="245" fontId="37" fillId="0" borderId="0" applyFont="0" applyFill="0" applyBorder="0" applyAlignment="0" applyProtection="0"/>
    <xf numFmtId="246" fontId="134" fillId="66" borderId="39" applyFont="0" applyFill="0" applyBorder="0" applyAlignment="0" applyProtection="0"/>
    <xf numFmtId="246" fontId="29" fillId="0" borderId="0" applyFont="0" applyFill="0" applyBorder="0" applyAlignment="0" applyProtection="0"/>
    <xf numFmtId="247" fontId="117" fillId="0" borderId="0" applyFont="0" applyFill="0" applyBorder="0" applyAlignment="0" applyProtection="0"/>
    <xf numFmtId="248" fontId="121" fillId="0" borderId="15" applyFont="0" applyFill="0" applyBorder="0" applyAlignment="0" applyProtection="0">
      <alignment horizontal="right"/>
      <protection locked="0"/>
    </xf>
    <xf numFmtId="0" fontId="54" fillId="0" borderId="0">
      <alignment vertical="top"/>
    </xf>
    <xf numFmtId="0" fontId="135" fillId="0" borderId="0"/>
    <xf numFmtId="0" fontId="9" fillId="0" borderId="0" applyNumberFormat="0" applyFill="0" applyBorder="0" applyAlignment="0" applyProtection="0"/>
    <xf numFmtId="0" fontId="9" fillId="0" borderId="0" applyNumberFormat="0" applyFill="0" applyBorder="0" applyAlignment="0" applyProtection="0"/>
    <xf numFmtId="175" fontId="29" fillId="53" borderId="16">
      <alignment horizontal="center" vertical="center"/>
    </xf>
    <xf numFmtId="0" fontId="136" fillId="0" borderId="0" applyNumberFormat="0" applyFont="0" applyFill="0" applyBorder="0" applyProtection="0">
      <alignment vertical="top" wrapText="1"/>
    </xf>
    <xf numFmtId="0" fontId="74" fillId="2" borderId="0" applyNumberFormat="0" applyFont="0" applyAlignment="0">
      <alignment vertical="top"/>
    </xf>
    <xf numFmtId="0" fontId="9" fillId="2" borderId="0" applyNumberFormat="0" applyFont="0" applyAlignment="0">
      <alignment vertical="top" wrapText="1"/>
    </xf>
    <xf numFmtId="249" fontId="132" fillId="0" borderId="37" applyNumberFormat="0" applyFill="0" applyBorder="0" applyAlignment="0" applyProtection="0">
      <alignment horizontal="center"/>
    </xf>
    <xf numFmtId="0" fontId="137" fillId="0" borderId="0"/>
    <xf numFmtId="250" fontId="138" fillId="0" borderId="0">
      <alignment horizontal="center" wrapText="1"/>
    </xf>
    <xf numFmtId="251" fontId="139" fillId="0" borderId="0" applyFont="0" applyFill="0" applyBorder="0" applyAlignment="0" applyProtection="0">
      <alignment vertical="center"/>
    </xf>
    <xf numFmtId="4" fontId="140" fillId="0" borderId="4" applyFont="0" applyFill="0" applyBorder="0" applyAlignment="0">
      <alignment horizontal="center" vertic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8" fontId="38" fillId="0" borderId="0">
      <alignment horizontal="right"/>
    </xf>
    <xf numFmtId="252" fontId="136" fillId="0" borderId="0" applyFont="0" applyFill="0" applyBorder="0" applyAlignment="0" applyProtection="0"/>
    <xf numFmtId="0" fontId="141" fillId="0" borderId="0"/>
    <xf numFmtId="253" fontId="142" fillId="0" borderId="0">
      <protection locked="0"/>
    </xf>
    <xf numFmtId="171" fontId="29" fillId="0" borderId="0" applyFont="0" applyFill="0" applyBorder="0" applyAlignment="0" applyProtection="0"/>
    <xf numFmtId="171"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134" fillId="0" borderId="0"/>
    <xf numFmtId="254" fontId="27" fillId="0" borderId="0">
      <protection locked="0"/>
    </xf>
    <xf numFmtId="44" fontId="139" fillId="0" borderId="0" applyFont="0" applyFill="0" applyBorder="0" applyAlignment="0" applyProtection="0"/>
    <xf numFmtId="255" fontId="139"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256" fontId="9" fillId="0" borderId="0" applyFont="0" applyFill="0" applyBorder="0" applyAlignment="0" applyProtection="0">
      <alignment wrapText="1"/>
    </xf>
    <xf numFmtId="256" fontId="9" fillId="0" borderId="0" applyFont="0" applyFill="0" applyBorder="0" applyAlignment="0" applyProtection="0">
      <alignment wrapText="1"/>
    </xf>
    <xf numFmtId="16" fontId="38" fillId="0" borderId="0">
      <alignment horizontal="right"/>
    </xf>
    <xf numFmtId="15" fontId="38" fillId="0" borderId="0">
      <alignment horizontal="right"/>
    </xf>
    <xf numFmtId="257" fontId="8" fillId="0" borderId="0"/>
    <xf numFmtId="182" fontId="9" fillId="0" borderId="0">
      <protection locked="0"/>
    </xf>
    <xf numFmtId="182" fontId="9" fillId="0" borderId="0">
      <protection locked="0"/>
    </xf>
    <xf numFmtId="0" fontId="143" fillId="0" borderId="0" applyNumberFormat="0" applyFill="0" applyBorder="0" applyAlignment="0" applyProtection="0"/>
    <xf numFmtId="38" fontId="38" fillId="56" borderId="0" applyNumberFormat="0" applyBorder="0" applyAlignment="0" applyProtection="0"/>
    <xf numFmtId="183" fontId="9" fillId="0" borderId="0">
      <protection locked="0"/>
    </xf>
    <xf numFmtId="183" fontId="9" fillId="0" borderId="0">
      <protection locked="0"/>
    </xf>
    <xf numFmtId="183" fontId="9" fillId="0" borderId="0">
      <protection locked="0"/>
    </xf>
    <xf numFmtId="183" fontId="9" fillId="0" borderId="0">
      <protection locked="0"/>
    </xf>
    <xf numFmtId="10" fontId="38" fillId="57" borderId="17" applyNumberFormat="0" applyBorder="0" applyAlignment="0" applyProtection="0"/>
    <xf numFmtId="258" fontId="27" fillId="0" borderId="0">
      <alignment horizontal="center"/>
      <protection locked="0"/>
    </xf>
    <xf numFmtId="259" fontId="9" fillId="0" borderId="0" applyFont="0" applyFill="0" applyBorder="0" applyAlignment="0" applyProtection="0"/>
    <xf numFmtId="260" fontId="9" fillId="0" borderId="0" applyFont="0" applyFill="0" applyBorder="0" applyAlignment="0" applyProtection="0"/>
    <xf numFmtId="261" fontId="29" fillId="0" borderId="0"/>
    <xf numFmtId="37" fontId="144" fillId="0" borderId="0"/>
    <xf numFmtId="0" fontId="9"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54"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262" fontId="9" fillId="0" borderId="0"/>
    <xf numFmtId="262" fontId="9" fillId="0" borderId="0"/>
    <xf numFmtId="263" fontId="13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6" fillId="0" borderId="40"/>
    <xf numFmtId="174" fontId="134" fillId="0" borderId="0"/>
    <xf numFmtId="3" fontId="45" fillId="0" borderId="41" applyBorder="0">
      <alignment horizontal="right" wrapText="1"/>
    </xf>
    <xf numFmtId="4" fontId="45" fillId="0" borderId="42" applyBorder="0">
      <alignment horizontal="right" wrapText="1"/>
    </xf>
    <xf numFmtId="0" fontId="9" fillId="69" borderId="28" applyNumberFormat="0" applyProtection="0">
      <alignment horizontal="left" vertical="center" indent="1"/>
    </xf>
    <xf numFmtId="4" fontId="54" fillId="70" borderId="28" applyNumberFormat="0" applyProtection="0">
      <alignment horizontal="right" vertical="center"/>
    </xf>
    <xf numFmtId="0" fontId="9" fillId="69" borderId="28" applyNumberFormat="0" applyProtection="0">
      <alignment horizontal="left" vertical="center" indent="1"/>
    </xf>
    <xf numFmtId="0" fontId="9" fillId="69" borderId="28" applyNumberFormat="0" applyProtection="0">
      <alignment horizontal="left" vertical="center" indent="1"/>
    </xf>
    <xf numFmtId="0" fontId="136" fillId="71" borderId="0" applyNumberFormat="0" applyFont="0" applyBorder="0" applyAlignment="0" applyProtection="0"/>
    <xf numFmtId="0" fontId="136" fillId="61" borderId="0" applyNumberFormat="0" applyFont="0" applyBorder="0" applyAlignment="0" applyProtection="0"/>
    <xf numFmtId="0" fontId="136" fillId="1" borderId="0" applyNumberFormat="0" applyFont="0" applyBorder="0" applyAlignment="0" applyProtection="0"/>
    <xf numFmtId="264" fontId="136" fillId="0" borderId="0" applyFont="0" applyFill="0" applyBorder="0" applyAlignment="0" applyProtection="0"/>
    <xf numFmtId="265" fontId="136" fillId="0" borderId="0" applyFont="0" applyFill="0" applyBorder="0" applyAlignment="0" applyProtection="0"/>
    <xf numFmtId="266" fontId="136" fillId="0" borderId="0" applyFont="0" applyFill="0" applyBorder="0" applyAlignment="0" applyProtection="0"/>
    <xf numFmtId="0" fontId="74" fillId="72" borderId="43" applyNumberFormat="0" applyProtection="0">
      <alignment horizontal="center" wrapText="1"/>
    </xf>
    <xf numFmtId="0" fontId="74" fillId="72" borderId="43" applyNumberFormat="0" applyProtection="0">
      <alignment horizontal="center" wrapText="1"/>
    </xf>
    <xf numFmtId="0" fontId="74" fillId="72" borderId="44" applyNumberFormat="0" applyAlignment="0" applyProtection="0">
      <alignment wrapText="1"/>
    </xf>
    <xf numFmtId="0" fontId="74" fillId="72" borderId="44" applyNumberFormat="0" applyAlignment="0" applyProtection="0">
      <alignment wrapText="1"/>
    </xf>
    <xf numFmtId="0" fontId="9" fillId="73" borderId="0" applyNumberFormat="0" applyBorder="0">
      <alignment horizontal="center" wrapText="1"/>
    </xf>
    <xf numFmtId="0" fontId="9" fillId="73" borderId="0" applyNumberFormat="0" applyBorder="0">
      <alignment horizontal="center" wrapText="1"/>
    </xf>
    <xf numFmtId="0" fontId="9" fillId="73" borderId="0" applyNumberFormat="0" applyBorder="0">
      <alignment wrapText="1"/>
    </xf>
    <xf numFmtId="0" fontId="9" fillId="73" borderId="0" applyNumberFormat="0" applyBorder="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267" fontId="9" fillId="0" borderId="0" applyFill="0" applyBorder="0" applyAlignment="0" applyProtection="0">
      <alignment wrapText="1"/>
    </xf>
    <xf numFmtId="267" fontId="9" fillId="0" borderId="0" applyFill="0" applyBorder="0" applyAlignment="0" applyProtection="0">
      <alignment wrapText="1"/>
    </xf>
    <xf numFmtId="192" fontId="9" fillId="0" borderId="0" applyFill="0" applyBorder="0" applyAlignment="0" applyProtection="0">
      <alignment wrapText="1"/>
    </xf>
    <xf numFmtId="268" fontId="9" fillId="0" borderId="0" applyFill="0" applyBorder="0" applyAlignment="0" applyProtection="0">
      <alignment wrapText="1"/>
    </xf>
    <xf numFmtId="0" fontId="9" fillId="0" borderId="0" applyNumberFormat="0" applyFill="0" applyBorder="0" applyProtection="0">
      <alignment horizontal="right" wrapText="1"/>
    </xf>
    <xf numFmtId="0" fontId="9" fillId="0" borderId="0" applyNumberFormat="0" applyFill="0" applyBorder="0" applyProtection="0">
      <alignment horizontal="right" wrapText="1"/>
    </xf>
    <xf numFmtId="0" fontId="9" fillId="0" borderId="0" applyNumberFormat="0" applyFill="0" applyBorder="0">
      <alignment horizontal="right" wrapText="1"/>
    </xf>
    <xf numFmtId="0" fontId="9" fillId="0" borderId="0" applyNumberFormat="0" applyFill="0" applyBorder="0">
      <alignment horizontal="right" wrapText="1"/>
    </xf>
    <xf numFmtId="17" fontId="9" fillId="0" borderId="0" applyFill="0" applyBorder="0">
      <alignment horizontal="right" wrapText="1"/>
    </xf>
    <xf numFmtId="17" fontId="9" fillId="0" borderId="0" applyFill="0" applyBorder="0">
      <alignment horizontal="right" wrapText="1"/>
    </xf>
    <xf numFmtId="8" fontId="9" fillId="0" borderId="0" applyFill="0" applyBorder="0" applyAlignment="0" applyProtection="0">
      <alignment wrapText="1"/>
    </xf>
    <xf numFmtId="8" fontId="9" fillId="0" borderId="0" applyFill="0" applyBorder="0" applyAlignment="0" applyProtection="0">
      <alignment wrapText="1"/>
    </xf>
    <xf numFmtId="0" fontId="28" fillId="0" borderId="0" applyNumberFormat="0" applyFill="0" applyBorder="0">
      <alignment horizontal="left" wrapText="1"/>
    </xf>
    <xf numFmtId="0" fontId="28" fillId="0" borderId="0" applyNumberFormat="0" applyFill="0" applyBorder="0">
      <alignment horizontal="left"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74" fillId="0" borderId="0" applyNumberFormat="0" applyFill="0" applyBorder="0">
      <alignment horizontal="center" wrapText="1"/>
    </xf>
    <xf numFmtId="0" fontId="147" fillId="0" borderId="45"/>
    <xf numFmtId="0" fontId="148" fillId="0" borderId="0">
      <alignment horizontal="centerContinuous" vertical="center" wrapText="1"/>
    </xf>
    <xf numFmtId="0" fontId="136" fillId="0" borderId="0" applyNumberFormat="0" applyFont="0" applyFill="0" applyBorder="0" applyProtection="0">
      <alignment horizontal="center" wrapText="1"/>
    </xf>
    <xf numFmtId="0" fontId="136" fillId="0" borderId="0" applyNumberFormat="0" applyFont="0" applyFill="0" applyBorder="0" applyProtection="0">
      <alignment horizontal="centerContinuous" vertical="center" wrapText="1"/>
    </xf>
    <xf numFmtId="0" fontId="9" fillId="0" borderId="0"/>
    <xf numFmtId="0" fontId="9" fillId="0" borderId="0"/>
    <xf numFmtId="269" fontId="9" fillId="0" borderId="0">
      <alignment wrapText="1"/>
    </xf>
    <xf numFmtId="269" fontId="9" fillId="0" borderId="0">
      <alignment wrapText="1"/>
    </xf>
    <xf numFmtId="270" fontId="9" fillId="0" borderId="0">
      <alignment wrapText="1"/>
    </xf>
    <xf numFmtId="270" fontId="9" fillId="0" borderId="0">
      <alignment wrapText="1"/>
    </xf>
    <xf numFmtId="37" fontId="38" fillId="2" borderId="0" applyNumberFormat="0" applyBorder="0" applyAlignment="0" applyProtection="0"/>
    <xf numFmtId="37" fontId="38" fillId="0" borderId="0"/>
    <xf numFmtId="0" fontId="149" fillId="0" borderId="0"/>
    <xf numFmtId="0" fontId="136" fillId="0" borderId="0" applyNumberFormat="0" applyFont="0" applyFill="0" applyBorder="0" applyProtection="0"/>
    <xf numFmtId="0" fontId="136" fillId="0" borderId="0" applyNumberFormat="0" applyFont="0" applyFill="0" applyBorder="0" applyProtection="0">
      <alignment vertical="center"/>
    </xf>
    <xf numFmtId="0" fontId="136" fillId="0" borderId="0" applyNumberFormat="0" applyFont="0" applyFill="0" applyBorder="0" applyProtection="0">
      <alignment vertical="top"/>
    </xf>
    <xf numFmtId="0" fontId="136" fillId="0" borderId="0" applyNumberFormat="0" applyFont="0" applyFill="0" applyBorder="0" applyProtection="0">
      <alignment wrapText="1"/>
    </xf>
    <xf numFmtId="0" fontId="150" fillId="0" borderId="0"/>
    <xf numFmtId="0" fontId="150" fillId="0" borderId="0"/>
    <xf numFmtId="43" fontId="150" fillId="0" borderId="0" applyFont="0" applyFill="0" applyBorder="0" applyAlignment="0" applyProtection="0"/>
    <xf numFmtId="0" fontId="145" fillId="0" borderId="0"/>
    <xf numFmtId="172" fontId="151" fillId="0" borderId="0" applyNumberFormat="0" applyFill="0" applyBorder="0" applyAlignment="0" applyProtection="0"/>
    <xf numFmtId="9" fontId="6" fillId="0" borderId="0" applyFont="0" applyFill="0" applyBorder="0" applyAlignment="0" applyProtection="0"/>
    <xf numFmtId="0" fontId="9" fillId="0" borderId="0"/>
    <xf numFmtId="43" fontId="9" fillId="0" borderId="0" applyFont="0" applyFill="0" applyBorder="0" applyAlignment="0" applyProtection="0"/>
    <xf numFmtId="272" fontId="152" fillId="0" borderId="0" applyFont="0" applyFill="0" applyBorder="0" applyAlignment="0" applyProtection="0"/>
    <xf numFmtId="273" fontId="152" fillId="0" borderId="0" applyFont="0" applyFill="0" applyBorder="0" applyAlignment="0" applyProtection="0"/>
    <xf numFmtId="274" fontId="152" fillId="0" borderId="0" applyFont="0" applyFill="0" applyBorder="0" applyAlignment="0" applyProtection="0"/>
    <xf numFmtId="275" fontId="152" fillId="0" borderId="0" applyFont="0" applyFill="0" applyBorder="0" applyAlignment="0" applyProtection="0"/>
    <xf numFmtId="276" fontId="152" fillId="0" borderId="0" applyFont="0" applyFill="0" applyBorder="0" applyAlignment="0" applyProtection="0"/>
    <xf numFmtId="277" fontId="152" fillId="0" borderId="0" applyFont="0" applyFill="0" applyBorder="0" applyAlignment="0" applyProtection="0"/>
    <xf numFmtId="0" fontId="96" fillId="0" borderId="0"/>
    <xf numFmtId="278" fontId="152" fillId="0" borderId="0" applyFont="0" applyFill="0" applyBorder="0" applyProtection="0">
      <alignment horizontal="left"/>
    </xf>
    <xf numFmtId="279" fontId="152" fillId="0" borderId="0" applyFont="0" applyFill="0" applyBorder="0" applyProtection="0">
      <alignment horizontal="left"/>
    </xf>
    <xf numFmtId="280" fontId="152" fillId="0" borderId="0" applyFont="0" applyFill="0" applyBorder="0" applyProtection="0">
      <alignment horizontal="left"/>
    </xf>
    <xf numFmtId="0" fontId="115"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281" fontId="1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37" fontId="71" fillId="0" borderId="0" applyFill="0" applyBorder="0" applyAlignment="0" applyProtection="0"/>
    <xf numFmtId="282" fontId="152" fillId="0" borderId="0" applyFont="0" applyFill="0" applyBorder="0" applyAlignment="0" applyProtection="0"/>
    <xf numFmtId="283" fontId="152" fillId="0" borderId="0" applyFont="0" applyFill="0" applyBorder="0" applyAlignment="0" applyProtection="0"/>
    <xf numFmtId="5" fontId="71" fillId="0" borderId="0" applyFill="0" applyBorder="0" applyAlignment="0" applyProtection="0"/>
    <xf numFmtId="284" fontId="152" fillId="0" borderId="0" applyFont="0" applyFill="0" applyBorder="0" applyProtection="0"/>
    <xf numFmtId="285" fontId="152" fillId="0" borderId="0" applyFont="0" applyFill="0" applyBorder="0" applyProtection="0"/>
    <xf numFmtId="286" fontId="152" fillId="0" borderId="0" applyFont="0" applyFill="0" applyBorder="0" applyAlignment="0" applyProtection="0"/>
    <xf numFmtId="287" fontId="152" fillId="0" borderId="0" applyFont="0" applyFill="0" applyBorder="0" applyAlignment="0" applyProtection="0"/>
    <xf numFmtId="288" fontId="152" fillId="0" borderId="0" applyFont="0" applyFill="0" applyBorder="0" applyAlignment="0" applyProtection="0"/>
    <xf numFmtId="289" fontId="128" fillId="0" borderId="0" applyFont="0" applyFill="0" applyBorder="0" applyAlignment="0" applyProtection="0"/>
    <xf numFmtId="0" fontId="153" fillId="0" borderId="0"/>
    <xf numFmtId="0" fontId="152" fillId="0" borderId="0" applyFont="0" applyFill="0" applyBorder="0" applyProtection="0">
      <alignment horizontal="center" wrapText="1"/>
    </xf>
    <xf numFmtId="290" fontId="152" fillId="0" borderId="0" applyFont="0" applyFill="0" applyBorder="0" applyProtection="0">
      <alignment horizontal="right"/>
    </xf>
    <xf numFmtId="291" fontId="152" fillId="0" borderId="0" applyFont="0" applyFill="0" applyBorder="0" applyProtection="0">
      <alignment horizontal="left"/>
    </xf>
    <xf numFmtId="292" fontId="152" fillId="0" borderId="0" applyFont="0" applyFill="0" applyBorder="0" applyProtection="0">
      <alignment horizontal="left"/>
    </xf>
    <xf numFmtId="293" fontId="152" fillId="0" borderId="0" applyFont="0" applyFill="0" applyBorder="0" applyProtection="0">
      <alignment horizontal="left"/>
    </xf>
    <xf numFmtId="294" fontId="152" fillId="0" borderId="0" applyFont="0" applyFill="0" applyBorder="0" applyProtection="0">
      <alignment horizontal="left"/>
    </xf>
    <xf numFmtId="0" fontId="154" fillId="0" borderId="0"/>
    <xf numFmtId="0" fontId="9" fillId="0" borderId="0" applyFont="0" applyFill="0" applyBorder="0" applyAlignment="0" applyProtection="0">
      <alignment horizontal="right"/>
    </xf>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applyProtection="0"/>
    <xf numFmtId="172" fontId="10" fillId="0" borderId="0" applyProtection="0"/>
    <xf numFmtId="172" fontId="10" fillId="0" borderId="0" applyProtection="0"/>
    <xf numFmtId="0" fontId="9" fillId="0" borderId="0"/>
    <xf numFmtId="0" fontId="8" fillId="75" borderId="0" applyNumberFormat="0" applyFont="0" applyBorder="0" applyAlignment="0"/>
    <xf numFmtId="295" fontId="155"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6" fontId="9" fillId="0" borderId="0"/>
    <xf numFmtId="297" fontId="29" fillId="0" borderId="0"/>
    <xf numFmtId="297" fontId="29" fillId="0" borderId="0"/>
    <xf numFmtId="295" fontId="155" fillId="0" borderId="0"/>
    <xf numFmtId="0" fontId="29" fillId="0" borderId="0"/>
    <xf numFmtId="295" fontId="71" fillId="0" borderId="0"/>
    <xf numFmtId="296" fontId="9" fillId="0" borderId="0"/>
    <xf numFmtId="297" fontId="29" fillId="0" borderId="0"/>
    <xf numFmtId="297" fontId="29" fillId="0" borderId="0"/>
    <xf numFmtId="0" fontId="29" fillId="0" borderId="0"/>
    <xf numFmtId="0" fontId="29"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0" fontId="29" fillId="0" borderId="0"/>
    <xf numFmtId="222" fontId="9" fillId="0" borderId="0" applyFont="0" applyFill="0" applyBorder="0" applyAlignment="0" applyProtection="0"/>
    <xf numFmtId="222" fontId="9" fillId="0" borderId="0" applyFont="0" applyFill="0" applyBorder="0" applyAlignment="0" applyProtection="0"/>
    <xf numFmtId="222" fontId="9" fillId="0" borderId="0" applyFont="0" applyFill="0" applyBorder="0" applyAlignment="0" applyProtection="0"/>
    <xf numFmtId="295" fontId="155" fillId="0" borderId="0"/>
    <xf numFmtId="295" fontId="155" fillId="0" borderId="0"/>
    <xf numFmtId="222" fontId="9" fillId="0" borderId="0" applyFont="0" applyFill="0" applyBorder="0" applyAlignment="0" applyProtection="0"/>
    <xf numFmtId="295" fontId="155" fillId="0" borderId="0"/>
    <xf numFmtId="295" fontId="155" fillId="0" borderId="0"/>
    <xf numFmtId="298" fontId="29" fillId="0" borderId="0"/>
    <xf numFmtId="170" fontId="29" fillId="0" borderId="0"/>
    <xf numFmtId="299" fontId="29" fillId="0" borderId="0"/>
    <xf numFmtId="298" fontId="29" fillId="0" borderId="0"/>
    <xf numFmtId="170" fontId="29" fillId="0" borderId="0"/>
    <xf numFmtId="268" fontId="29" fillId="0" borderId="0"/>
    <xf numFmtId="268" fontId="29" fillId="0" borderId="0"/>
    <xf numFmtId="300" fontId="29" fillId="0" borderId="0"/>
    <xf numFmtId="299" fontId="29" fillId="0" borderId="0"/>
    <xf numFmtId="169" fontId="29" fillId="0" borderId="0"/>
    <xf numFmtId="300" fontId="29" fillId="0" borderId="0"/>
    <xf numFmtId="300" fontId="29" fillId="0" borderId="0"/>
    <xf numFmtId="301" fontId="152" fillId="0" borderId="0" applyFont="0" applyFill="0" applyBorder="0" applyAlignment="0" applyProtection="0"/>
    <xf numFmtId="302" fontId="152"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71" fillId="0" borderId="0" applyFill="0" applyBorder="0" applyAlignment="0" applyProtection="0"/>
    <xf numFmtId="0" fontId="130" fillId="0" borderId="0"/>
    <xf numFmtId="0" fontId="156" fillId="0" borderId="1">
      <alignment horizontal="right"/>
    </xf>
    <xf numFmtId="303" fontId="121" fillId="0" borderId="0">
      <alignment horizontal="center"/>
    </xf>
    <xf numFmtId="304" fontId="157" fillId="0" borderId="0">
      <alignment horizontal="center"/>
    </xf>
    <xf numFmtId="0" fontId="54" fillId="0" borderId="0" applyNumberFormat="0" applyBorder="0" applyAlignment="0"/>
    <xf numFmtId="0" fontId="158" fillId="0" borderId="0" applyNumberFormat="0" applyBorder="0" applyAlignment="0"/>
    <xf numFmtId="0" fontId="159" fillId="0" borderId="0" applyAlignment="0">
      <alignment horizontal="centerContinuous"/>
    </xf>
    <xf numFmtId="0" fontId="160" fillId="0" borderId="0" applyNumberFormat="0" applyFill="0" applyBorder="0" applyAlignment="0" applyProtection="0">
      <alignment vertical="top"/>
      <protection locked="0"/>
    </xf>
    <xf numFmtId="172" fontId="10" fillId="0" borderId="0" applyProtection="0"/>
    <xf numFmtId="43" fontId="10" fillId="0" borderId="0" applyFont="0" applyFill="0" applyBorder="0" applyAlignment="0" applyProtection="0"/>
    <xf numFmtId="9" fontId="10" fillId="0" borderId="0" applyFont="0" applyFill="0" applyBorder="0" applyAlignment="0" applyProtection="0"/>
    <xf numFmtId="37" fontId="10" fillId="0" borderId="0" applyFont="0" applyFill="0" applyBorder="0" applyAlignment="0" applyProtection="0"/>
    <xf numFmtId="172" fontId="10" fillId="0" borderId="0" applyProtection="0"/>
    <xf numFmtId="172" fontId="10" fillId="0" borderId="0" applyProtection="0"/>
    <xf numFmtId="0" fontId="9" fillId="0" borderId="0"/>
    <xf numFmtId="0" fontId="183" fillId="0" borderId="0"/>
    <xf numFmtId="44" fontId="9" fillId="0" borderId="0" applyFont="0" applyFill="0" applyBorder="0" applyAlignment="0" applyProtection="0"/>
    <xf numFmtId="0" fontId="4" fillId="0" borderId="0"/>
    <xf numFmtId="0" fontId="27" fillId="0" borderId="0">
      <alignment vertical="top"/>
    </xf>
    <xf numFmtId="0" fontId="3" fillId="0" borderId="0"/>
    <xf numFmtId="172" fontId="10" fillId="0" borderId="0" applyProtection="0"/>
    <xf numFmtId="9" fontId="3" fillId="0" borderId="0" applyFont="0" applyFill="0" applyBorder="0" applyAlignment="0" applyProtection="0"/>
    <xf numFmtId="43" fontId="3"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cellStyleXfs>
  <cellXfs count="852">
    <xf numFmtId="172" fontId="0" fillId="0" borderId="0" xfId="0"/>
    <xf numFmtId="0" fontId="161" fillId="0" borderId="0" xfId="0" applyNumberFormat="1" applyFont="1" applyAlignment="1">
      <alignment horizontal="center"/>
    </xf>
    <xf numFmtId="172" fontId="29" fillId="0" borderId="0" xfId="0" applyFont="1"/>
    <xf numFmtId="0" fontId="29" fillId="0" borderId="0" xfId="4598" applyFont="1"/>
    <xf numFmtId="172" fontId="37" fillId="0" borderId="0" xfId="0" applyFont="1"/>
    <xf numFmtId="0" fontId="29" fillId="0" borderId="0" xfId="0" applyNumberFormat="1" applyFont="1" applyAlignment="1">
      <alignment horizontal="center"/>
    </xf>
    <xf numFmtId="172" fontId="29" fillId="0" borderId="0" xfId="0" applyFont="1" applyAlignment="1">
      <alignment horizontal="right"/>
    </xf>
    <xf numFmtId="0" fontId="121" fillId="0" borderId="0" xfId="4598" applyFont="1" applyAlignment="1">
      <alignment horizontal="centerContinuous"/>
    </xf>
    <xf numFmtId="0" fontId="121" fillId="0" borderId="17" xfId="4598" applyFont="1" applyBorder="1" applyAlignment="1">
      <alignment horizontal="center"/>
    </xf>
    <xf numFmtId="0" fontId="29" fillId="0" borderId="0" xfId="0" applyNumberFormat="1" applyFont="1" applyAlignment="1">
      <alignment horizontal="center" wrapText="1"/>
    </xf>
    <xf numFmtId="0" fontId="121" fillId="0" borderId="0" xfId="4598" applyFont="1" applyAlignment="1">
      <alignment horizontal="center" wrapText="1"/>
    </xf>
    <xf numFmtId="172" fontId="121" fillId="0" borderId="0" xfId="0" applyFont="1" applyAlignment="1">
      <alignment horizontal="center" wrapText="1"/>
    </xf>
    <xf numFmtId="172" fontId="29" fillId="0" borderId="0" xfId="0" applyFont="1" applyAlignment="1">
      <alignment wrapText="1"/>
    </xf>
    <xf numFmtId="0" fontId="121" fillId="0" borderId="0" xfId="4598" applyFont="1" applyAlignment="1">
      <alignment horizontal="center"/>
    </xf>
    <xf numFmtId="0" fontId="121" fillId="0" borderId="0" xfId="4595" applyFont="1" applyAlignment="1">
      <alignment horizontal="center" wrapText="1"/>
    </xf>
    <xf numFmtId="172" fontId="162" fillId="0" borderId="0" xfId="0" applyFont="1"/>
    <xf numFmtId="172" fontId="161" fillId="0" borderId="0" xfId="0" applyFont="1"/>
    <xf numFmtId="0" fontId="29" fillId="0" borderId="0" xfId="4598" applyFont="1" applyAlignment="1">
      <alignment horizontal="left"/>
    </xf>
    <xf numFmtId="0" fontId="29" fillId="0" borderId="0" xfId="4598" quotePrefix="1" applyFont="1" applyAlignment="1">
      <alignment horizontal="left"/>
    </xf>
    <xf numFmtId="41" fontId="29" fillId="2" borderId="0" xfId="4598" applyNumberFormat="1" applyFont="1" applyFill="1"/>
    <xf numFmtId="0" fontId="29" fillId="0" borderId="0" xfId="4598" applyFont="1" applyAlignment="1">
      <alignment horizontal="right"/>
    </xf>
    <xf numFmtId="174" fontId="29" fillId="0" borderId="14" xfId="190" applyNumberFormat="1" applyFont="1" applyBorder="1"/>
    <xf numFmtId="37" fontId="29" fillId="0" borderId="0" xfId="4598" applyNumberFormat="1" applyFont="1"/>
    <xf numFmtId="172" fontId="29" fillId="0" borderId="0" xfId="4596" applyFont="1"/>
    <xf numFmtId="0" fontId="121" fillId="0" borderId="0" xfId="4598" applyFont="1" applyAlignment="1">
      <alignment horizontal="centerContinuous" wrapText="1"/>
    </xf>
    <xf numFmtId="41" fontId="29" fillId="76" borderId="0" xfId="4598" applyNumberFormat="1" applyFont="1" applyFill="1"/>
    <xf numFmtId="43" fontId="29" fillId="0" borderId="14" xfId="190" applyFont="1" applyBorder="1"/>
    <xf numFmtId="172" fontId="29" fillId="0" borderId="0" xfId="0" applyFont="1" applyAlignment="1">
      <alignment horizontal="center"/>
    </xf>
    <xf numFmtId="44" fontId="29" fillId="0" borderId="0" xfId="0" applyNumberFormat="1" applyFont="1"/>
    <xf numFmtId="0" fontId="29" fillId="0" borderId="0" xfId="4157" applyFont="1"/>
    <xf numFmtId="0" fontId="29" fillId="0" borderId="0" xfId="4157" applyFont="1" applyAlignment="1">
      <alignment horizontal="center"/>
    </xf>
    <xf numFmtId="3" fontId="29" fillId="0" borderId="0" xfId="4157" applyNumberFormat="1" applyFont="1" applyAlignment="1">
      <alignment horizontal="center" wrapText="1"/>
    </xf>
    <xf numFmtId="0" fontId="29" fillId="0" borderId="0" xfId="4157" applyFont="1" applyAlignment="1">
      <alignment horizontal="center" wrapText="1"/>
    </xf>
    <xf numFmtId="0" fontId="29" fillId="3" borderId="0" xfId="4157" applyFont="1" applyFill="1"/>
    <xf numFmtId="174" fontId="29" fillId="3" borderId="0" xfId="190" applyNumberFormat="1" applyFont="1" applyFill="1" applyBorder="1" applyAlignment="1">
      <alignment horizontal="center"/>
    </xf>
    <xf numFmtId="174" fontId="29" fillId="0" borderId="0" xfId="190" applyNumberFormat="1" applyFont="1" applyFill="1" applyBorder="1" applyAlignment="1">
      <alignment horizontal="center" wrapText="1"/>
    </xf>
    <xf numFmtId="174" fontId="29" fillId="3" borderId="0" xfId="190" applyNumberFormat="1" applyFont="1" applyFill="1" applyBorder="1"/>
    <xf numFmtId="172" fontId="161" fillId="3" borderId="0" xfId="0" applyFont="1" applyFill="1"/>
    <xf numFmtId="0" fontId="29" fillId="3" borderId="3" xfId="4157" applyFont="1" applyFill="1" applyBorder="1"/>
    <xf numFmtId="174" fontId="29" fillId="3" borderId="3" xfId="190" applyNumberFormat="1" applyFont="1" applyFill="1" applyBorder="1"/>
    <xf numFmtId="174" fontId="29" fillId="3" borderId="3" xfId="190" applyNumberFormat="1" applyFont="1" applyFill="1" applyBorder="1" applyAlignment="1">
      <alignment horizontal="center"/>
    </xf>
    <xf numFmtId="172" fontId="161" fillId="3" borderId="3" xfId="0" applyFont="1" applyFill="1" applyBorder="1"/>
    <xf numFmtId="174" fontId="29" fillId="0" borderId="3" xfId="190" applyNumberFormat="1" applyFont="1" applyFill="1" applyBorder="1" applyAlignment="1">
      <alignment horizontal="center" wrapText="1"/>
    </xf>
    <xf numFmtId="174" fontId="29" fillId="0" borderId="0" xfId="190" applyNumberFormat="1" applyFont="1" applyFill="1" applyBorder="1"/>
    <xf numFmtId="0" fontId="163" fillId="0" borderId="0" xfId="0" applyNumberFormat="1" applyFont="1" applyAlignment="1">
      <alignment horizontal="center"/>
    </xf>
    <xf numFmtId="172" fontId="163" fillId="0" borderId="0" xfId="0" applyFont="1" applyAlignment="1">
      <alignment horizontal="center"/>
    </xf>
    <xf numFmtId="44" fontId="163" fillId="0" borderId="0" xfId="0" applyNumberFormat="1" applyFont="1"/>
    <xf numFmtId="172" fontId="29" fillId="0" borderId="0" xfId="0" applyFont="1" applyAlignment="1">
      <alignment vertical="center" wrapText="1"/>
    </xf>
    <xf numFmtId="172" fontId="29" fillId="0" borderId="0" xfId="0" applyFont="1" applyAlignment="1">
      <alignment vertical="center"/>
    </xf>
    <xf numFmtId="0" fontId="29" fillId="0" borderId="0" xfId="0" applyNumberFormat="1" applyFont="1" applyAlignment="1">
      <alignment horizontal="center" vertical="top"/>
    </xf>
    <xf numFmtId="0" fontId="29" fillId="0" borderId="0" xfId="4228" applyFont="1" applyAlignment="1">
      <alignment vertical="top"/>
    </xf>
    <xf numFmtId="3" fontId="29" fillId="0" borderId="0" xfId="4228" applyNumberFormat="1" applyFont="1"/>
    <xf numFmtId="3" fontId="29" fillId="0" borderId="0" xfId="4597" applyNumberFormat="1" applyFont="1"/>
    <xf numFmtId="0" fontId="29" fillId="0" borderId="0" xfId="4597" applyNumberFormat="1" applyFont="1" applyAlignment="1" applyProtection="1">
      <alignment horizontal="center"/>
      <protection locked="0"/>
    </xf>
    <xf numFmtId="0" fontId="29" fillId="0" borderId="0" xfId="4597" applyNumberFormat="1" applyFont="1"/>
    <xf numFmtId="174" fontId="29" fillId="0" borderId="0" xfId="190" applyNumberFormat="1" applyFont="1" applyAlignment="1"/>
    <xf numFmtId="43" fontId="29" fillId="0" borderId="0" xfId="190" applyFont="1" applyAlignment="1">
      <alignment horizontal="center"/>
    </xf>
    <xf numFmtId="0" fontId="29" fillId="0" borderId="0" xfId="4595" applyFont="1"/>
    <xf numFmtId="3" fontId="29" fillId="0" borderId="0" xfId="4595" applyNumberFormat="1" applyFont="1"/>
    <xf numFmtId="174" fontId="29" fillId="0" borderId="0" xfId="190" applyNumberFormat="1" applyFont="1" applyFill="1" applyBorder="1" applyAlignment="1"/>
    <xf numFmtId="174" fontId="29" fillId="0" borderId="0" xfId="190" applyNumberFormat="1" applyFont="1" applyBorder="1" applyAlignment="1"/>
    <xf numFmtId="172" fontId="29" fillId="0" borderId="0" xfId="4597" applyFont="1"/>
    <xf numFmtId="164" fontId="29" fillId="0" borderId="0" xfId="4597" applyNumberFormat="1" applyFont="1" applyAlignment="1">
      <alignment horizontal="center"/>
    </xf>
    <xf numFmtId="174" fontId="29" fillId="0" borderId="0" xfId="190" applyNumberFormat="1" applyFont="1" applyFill="1" applyAlignment="1"/>
    <xf numFmtId="174" fontId="29" fillId="0" borderId="1" xfId="190" applyNumberFormat="1" applyFont="1" applyFill="1" applyBorder="1" applyAlignment="1"/>
    <xf numFmtId="271" fontId="29" fillId="0" borderId="0" xfId="190" applyNumberFormat="1" applyFont="1" applyFill="1" applyAlignment="1"/>
    <xf numFmtId="271" fontId="29" fillId="0" borderId="0" xfId="190" applyNumberFormat="1" applyFont="1" applyAlignment="1"/>
    <xf numFmtId="271" fontId="29" fillId="0" borderId="0" xfId="190" applyNumberFormat="1" applyFont="1" applyBorder="1" applyAlignment="1"/>
    <xf numFmtId="174" fontId="29" fillId="0" borderId="1" xfId="190" applyNumberFormat="1" applyFont="1" applyBorder="1" applyAlignment="1"/>
    <xf numFmtId="3" fontId="29" fillId="0" borderId="0" xfId="4597" quotePrefix="1" applyNumberFormat="1" applyFont="1" applyAlignment="1">
      <alignment horizontal="left"/>
    </xf>
    <xf numFmtId="174" fontId="29" fillId="0" borderId="14" xfId="190" applyNumberFormat="1" applyFont="1" applyFill="1" applyBorder="1" applyAlignment="1"/>
    <xf numFmtId="0" fontId="29" fillId="0" borderId="0" xfId="0" applyNumberFormat="1" applyFont="1" applyProtection="1">
      <protection locked="0"/>
    </xf>
    <xf numFmtId="174" fontId="29" fillId="0" borderId="50" xfId="190" applyNumberFormat="1" applyFont="1" applyFill="1" applyBorder="1" applyAlignment="1"/>
    <xf numFmtId="174" fontId="164" fillId="3" borderId="0" xfId="190" applyNumberFormat="1" applyFont="1" applyFill="1" applyAlignment="1"/>
    <xf numFmtId="0" fontId="29" fillId="0" borderId="0" xfId="4595" applyFont="1" applyAlignment="1" applyProtection="1">
      <alignment horizontal="center"/>
      <protection locked="0"/>
    </xf>
    <xf numFmtId="3" fontId="29" fillId="0" borderId="0" xfId="4597" applyNumberFormat="1" applyFont="1" applyAlignment="1">
      <alignment horizontal="left"/>
    </xf>
    <xf numFmtId="10" fontId="29" fillId="0" borderId="0" xfId="4597" applyNumberFormat="1" applyFont="1" applyAlignment="1">
      <alignment horizontal="left"/>
    </xf>
    <xf numFmtId="174" fontId="29" fillId="0" borderId="2" xfId="190" applyNumberFormat="1" applyFont="1" applyFill="1" applyBorder="1" applyAlignment="1"/>
    <xf numFmtId="0" fontId="29" fillId="0" borderId="0" xfId="0" applyNumberFormat="1" applyFont="1" applyAlignment="1" applyProtection="1">
      <alignment horizontal="center"/>
      <protection locked="0"/>
    </xf>
    <xf numFmtId="0" fontId="29" fillId="0" borderId="0" xfId="0" applyNumberFormat="1" applyFont="1" applyAlignment="1" applyProtection="1">
      <alignment horizontal="center" vertical="top"/>
      <protection locked="0"/>
    </xf>
    <xf numFmtId="0" fontId="29" fillId="0" borderId="0" xfId="0" applyNumberFormat="1" applyFont="1" applyAlignment="1" applyProtection="1">
      <alignment vertical="center"/>
      <protection locked="0"/>
    </xf>
    <xf numFmtId="172" fontId="29" fillId="0" borderId="0" xfId="0" applyFont="1" applyAlignment="1">
      <alignment horizontal="center" vertical="top"/>
    </xf>
    <xf numFmtId="0" fontId="29" fillId="0" borderId="0" xfId="4664" applyNumberFormat="1" applyFont="1"/>
    <xf numFmtId="0" fontId="165" fillId="0" borderId="0" xfId="0" applyNumberFormat="1" applyFont="1" applyProtection="1">
      <protection locked="0"/>
    </xf>
    <xf numFmtId="3" fontId="165" fillId="0" borderId="0" xfId="0" applyNumberFormat="1" applyFont="1"/>
    <xf numFmtId="0" fontId="165" fillId="0" borderId="0" xfId="0" applyNumberFormat="1" applyFont="1" applyAlignment="1" applyProtection="1">
      <alignment horizontal="center" vertical="top"/>
      <protection locked="0"/>
    </xf>
    <xf numFmtId="0" fontId="165" fillId="0" borderId="0" xfId="4597" applyNumberFormat="1" applyFont="1" applyAlignment="1" applyProtection="1">
      <alignment vertical="top" wrapText="1"/>
      <protection locked="0"/>
    </xf>
    <xf numFmtId="0" fontId="165" fillId="0" borderId="0" xfId="0" applyNumberFormat="1" applyFont="1" applyAlignment="1" applyProtection="1">
      <alignment vertical="top"/>
      <protection locked="0"/>
    </xf>
    <xf numFmtId="0" fontId="166" fillId="0" borderId="0" xfId="0" applyNumberFormat="1" applyFont="1" applyProtection="1">
      <protection locked="0"/>
    </xf>
    <xf numFmtId="172" fontId="165" fillId="0" borderId="0" xfId="0" applyFont="1"/>
    <xf numFmtId="172" fontId="165" fillId="0" borderId="0" xfId="0" applyFont="1" applyAlignment="1">
      <alignment horizontal="center"/>
    </xf>
    <xf numFmtId="0" fontId="165" fillId="0" borderId="0" xfId="4228" applyFont="1" applyAlignment="1">
      <alignment vertical="top" wrapText="1"/>
    </xf>
    <xf numFmtId="0" fontId="165" fillId="0" borderId="0" xfId="0" applyNumberFormat="1" applyFont="1"/>
    <xf numFmtId="172" fontId="165" fillId="0" borderId="0" xfId="0" applyFont="1" applyAlignment="1">
      <alignment horizontal="center" vertical="top"/>
    </xf>
    <xf numFmtId="0" fontId="165" fillId="0" borderId="0" xfId="4664" applyNumberFormat="1" applyFont="1"/>
    <xf numFmtId="172" fontId="165" fillId="0" borderId="0" xfId="4664" applyFont="1" applyAlignment="1">
      <alignment horizontal="center"/>
    </xf>
    <xf numFmtId="172" fontId="165" fillId="0" borderId="0" xfId="0" applyFont="1" applyAlignment="1">
      <alignment vertical="top" wrapText="1"/>
    </xf>
    <xf numFmtId="0" fontId="165" fillId="0" borderId="0" xfId="4228" applyFont="1" applyAlignment="1">
      <alignment vertical="top"/>
    </xf>
    <xf numFmtId="0" fontId="165" fillId="0" borderId="0" xfId="4597" applyNumberFormat="1" applyFont="1" applyAlignment="1" applyProtection="1">
      <alignment vertical="top"/>
      <protection locked="0"/>
    </xf>
    <xf numFmtId="170" fontId="165" fillId="0" borderId="0" xfId="4597" applyNumberFormat="1" applyFont="1" applyAlignment="1" applyProtection="1">
      <alignment vertical="top"/>
    </xf>
    <xf numFmtId="3" fontId="165" fillId="0" borderId="0" xfId="4597" applyNumberFormat="1" applyFont="1" applyAlignment="1" applyProtection="1">
      <alignment vertical="top"/>
    </xf>
    <xf numFmtId="172" fontId="165" fillId="0" borderId="0" xfId="0" applyFont="1" applyAlignment="1">
      <alignment vertical="top"/>
    </xf>
    <xf numFmtId="0" fontId="165" fillId="0" borderId="0" xfId="2138" applyFont="1" applyAlignment="1">
      <alignment vertical="center"/>
    </xf>
    <xf numFmtId="172" fontId="29" fillId="0" borderId="0" xfId="0" applyFont="1" applyProtection="1">
      <protection locked="0"/>
    </xf>
    <xf numFmtId="0" fontId="29" fillId="0" borderId="0" xfId="0" applyNumberFormat="1" applyFont="1" applyAlignment="1" applyProtection="1">
      <alignment horizontal="left"/>
      <protection locked="0"/>
    </xf>
    <xf numFmtId="0" fontId="29" fillId="0" borderId="0" xfId="0" applyNumberFormat="1" applyFont="1" applyAlignment="1" applyProtection="1">
      <alignment horizontal="right"/>
      <protection locked="0"/>
    </xf>
    <xf numFmtId="0" fontId="29" fillId="2" borderId="0" xfId="0" applyNumberFormat="1" applyFont="1" applyFill="1" applyAlignment="1" applyProtection="1">
      <alignment horizontal="right"/>
      <protection locked="0"/>
    </xf>
    <xf numFmtId="3" fontId="29" fillId="0" borderId="0" xfId="0" applyNumberFormat="1" applyFont="1" applyProtection="1">
      <protection locked="0"/>
    </xf>
    <xf numFmtId="3" fontId="29" fillId="0" borderId="0" xfId="0" applyNumberFormat="1" applyFont="1" applyAlignment="1" applyProtection="1">
      <alignment horizontal="center"/>
      <protection locked="0"/>
    </xf>
    <xf numFmtId="49" fontId="121" fillId="0" borderId="0" xfId="0" applyNumberFormat="1" applyFont="1" applyAlignment="1" applyProtection="1">
      <alignment horizontal="center"/>
      <protection locked="0"/>
    </xf>
    <xf numFmtId="49" fontId="29" fillId="0" borderId="0" xfId="0" applyNumberFormat="1" applyFont="1" applyProtection="1">
      <protection locked="0"/>
    </xf>
    <xf numFmtId="0" fontId="29" fillId="0" borderId="1" xfId="0" applyNumberFormat="1" applyFont="1" applyBorder="1" applyAlignment="1" applyProtection="1">
      <alignment horizontal="center"/>
      <protection locked="0"/>
    </xf>
    <xf numFmtId="42" fontId="29" fillId="0" borderId="0" xfId="0" applyNumberFormat="1" applyFont="1" applyProtection="1"/>
    <xf numFmtId="0" fontId="29" fillId="0" borderId="1" xfId="0" applyNumberFormat="1" applyFont="1" applyBorder="1" applyAlignment="1" applyProtection="1">
      <alignment horizontal="centerContinuous"/>
      <protection locked="0"/>
    </xf>
    <xf numFmtId="166" fontId="29" fillId="0" borderId="0" xfId="0" applyNumberFormat="1" applyFont="1" applyProtection="1"/>
    <xf numFmtId="3" fontId="29" fillId="0" borderId="0" xfId="0" applyNumberFormat="1" applyFont="1" applyProtection="1"/>
    <xf numFmtId="3" fontId="164" fillId="2" borderId="0" xfId="0" applyNumberFormat="1" applyFont="1" applyFill="1" applyProtection="1">
      <protection locked="0"/>
    </xf>
    <xf numFmtId="3" fontId="29" fillId="0" borderId="0" xfId="0" applyNumberFormat="1" applyFont="1" applyAlignment="1" applyProtection="1">
      <alignment horizontal="fill"/>
      <protection locked="0"/>
    </xf>
    <xf numFmtId="166" fontId="29" fillId="0" borderId="0" xfId="0" applyNumberFormat="1" applyFont="1" applyProtection="1">
      <protection locked="0"/>
    </xf>
    <xf numFmtId="42" fontId="29" fillId="0" borderId="14" xfId="0" applyNumberFormat="1" applyFont="1" applyBorder="1" applyAlignment="1" applyProtection="1">
      <alignment horizontal="right"/>
    </xf>
    <xf numFmtId="42" fontId="29" fillId="0" borderId="0" xfId="0" applyNumberFormat="1" applyFont="1" applyAlignment="1" applyProtection="1">
      <alignment horizontal="right"/>
      <protection locked="0"/>
    </xf>
    <xf numFmtId="0" fontId="29" fillId="0" borderId="0" xfId="0" applyNumberFormat="1" applyFont="1" applyAlignment="1" applyProtection="1">
      <alignment horizontal="right"/>
    </xf>
    <xf numFmtId="172" fontId="121" fillId="0" borderId="0" xfId="0" applyFont="1" applyAlignment="1" applyProtection="1">
      <alignment horizontal="center"/>
    </xf>
    <xf numFmtId="49" fontId="29" fillId="0" borderId="0" xfId="0" applyNumberFormat="1" applyFont="1" applyAlignment="1" applyProtection="1">
      <alignment horizontal="left"/>
      <protection locked="0"/>
    </xf>
    <xf numFmtId="49" fontId="29" fillId="0" borderId="0" xfId="0" applyNumberFormat="1" applyFont="1" applyAlignment="1" applyProtection="1">
      <alignment horizontal="center"/>
      <protection locked="0"/>
    </xf>
    <xf numFmtId="3" fontId="121" fillId="0" borderId="0" xfId="0" applyNumberFormat="1" applyFont="1" applyAlignment="1" applyProtection="1">
      <alignment horizontal="center"/>
      <protection locked="0"/>
    </xf>
    <xf numFmtId="0" fontId="121" fillId="0" borderId="0" xfId="0" applyNumberFormat="1" applyFont="1" applyAlignment="1" applyProtection="1">
      <alignment horizontal="center"/>
      <protection locked="0"/>
    </xf>
    <xf numFmtId="172" fontId="121" fillId="0" borderId="0" xfId="0" applyFont="1" applyAlignment="1" applyProtection="1">
      <alignment horizontal="center"/>
      <protection locked="0"/>
    </xf>
    <xf numFmtId="3" fontId="121" fillId="0" borderId="0" xfId="0" applyNumberFormat="1" applyFont="1" applyProtection="1">
      <protection locked="0"/>
    </xf>
    <xf numFmtId="0" fontId="121" fillId="0" borderId="0" xfId="0" applyNumberFormat="1" applyFont="1" applyProtection="1">
      <protection locked="0"/>
    </xf>
    <xf numFmtId="165" fontId="29" fillId="0" borderId="0" xfId="0" applyNumberFormat="1" applyFont="1" applyProtection="1">
      <protection locked="0"/>
    </xf>
    <xf numFmtId="165" fontId="29" fillId="0" borderId="0" xfId="0" applyNumberFormat="1" applyFont="1" applyProtection="1"/>
    <xf numFmtId="164" fontId="29" fillId="0" borderId="0" xfId="0" applyNumberFormat="1" applyFont="1" applyAlignment="1" applyProtection="1">
      <alignment horizontal="center"/>
    </xf>
    <xf numFmtId="164" fontId="29" fillId="0" borderId="0" xfId="0" applyNumberFormat="1" applyFont="1" applyAlignment="1" applyProtection="1">
      <alignment horizontal="center"/>
      <protection locked="0"/>
    </xf>
    <xf numFmtId="0" fontId="29" fillId="0" borderId="0" xfId="0" applyNumberFormat="1" applyFont="1" applyProtection="1"/>
    <xf numFmtId="172" fontId="29" fillId="0" borderId="1" xfId="0" applyFont="1" applyBorder="1" applyProtection="1">
      <protection locked="0"/>
    </xf>
    <xf numFmtId="172" fontId="29" fillId="0" borderId="0" xfId="0" applyFont="1" applyProtection="1"/>
    <xf numFmtId="171" fontId="29" fillId="0" borderId="0" xfId="0" applyNumberFormat="1" applyFont="1" applyAlignment="1" applyProtection="1">
      <alignment horizontal="left"/>
    </xf>
    <xf numFmtId="166" fontId="29" fillId="0" borderId="0" xfId="0" applyNumberFormat="1" applyFont="1" applyAlignment="1" applyProtection="1">
      <alignment horizontal="right"/>
      <protection locked="0"/>
    </xf>
    <xf numFmtId="166" fontId="29" fillId="0" borderId="0" xfId="0" applyNumberFormat="1" applyFont="1" applyAlignment="1" applyProtection="1">
      <alignment horizontal="center"/>
      <protection locked="0"/>
    </xf>
    <xf numFmtId="164" fontId="29" fillId="0" borderId="0" xfId="0" applyNumberFormat="1" applyFont="1" applyAlignment="1" applyProtection="1">
      <alignment horizontal="left"/>
      <protection locked="0"/>
    </xf>
    <xf numFmtId="10" fontId="29" fillId="0" borderId="0" xfId="0" applyNumberFormat="1" applyFont="1" applyAlignment="1" applyProtection="1">
      <alignment horizontal="right"/>
    </xf>
    <xf numFmtId="10" fontId="29" fillId="0" borderId="0" xfId="0" applyNumberFormat="1" applyFont="1" applyAlignment="1" applyProtection="1">
      <alignment horizontal="left"/>
      <protection locked="0"/>
    </xf>
    <xf numFmtId="3" fontId="29" fillId="0" borderId="0" xfId="0" applyNumberFormat="1" applyFont="1" applyAlignment="1" applyProtection="1">
      <alignment horizontal="left"/>
      <protection locked="0"/>
    </xf>
    <xf numFmtId="167" fontId="29" fillId="0" borderId="0" xfId="0" applyNumberFormat="1" applyFont="1" applyProtection="1">
      <protection locked="0"/>
    </xf>
    <xf numFmtId="0" fontId="29" fillId="0" borderId="1" xfId="0" applyNumberFormat="1" applyFont="1" applyBorder="1" applyProtection="1">
      <protection locked="0"/>
    </xf>
    <xf numFmtId="3" fontId="164" fillId="2" borderId="1" xfId="0" applyNumberFormat="1" applyFont="1" applyFill="1" applyBorder="1" applyProtection="1">
      <protection locked="0"/>
    </xf>
    <xf numFmtId="165" fontId="29" fillId="0" borderId="0" xfId="0" applyNumberFormat="1" applyFont="1" applyAlignment="1" applyProtection="1">
      <alignment horizontal="right"/>
    </xf>
    <xf numFmtId="172" fontId="167" fillId="0" borderId="0" xfId="0" applyFont="1" applyProtection="1">
      <protection locked="0"/>
    </xf>
    <xf numFmtId="3" fontId="29" fillId="2" borderId="1" xfId="0" applyNumberFormat="1" applyFont="1" applyFill="1" applyBorder="1" applyProtection="1">
      <protection locked="0"/>
    </xf>
    <xf numFmtId="173" fontId="29" fillId="0" borderId="0" xfId="1" applyNumberFormat="1" applyFont="1" applyFill="1" applyBorder="1" applyAlignment="1" applyProtection="1">
      <protection locked="0"/>
    </xf>
    <xf numFmtId="3" fontId="168" fillId="0" borderId="0" xfId="0" applyNumberFormat="1" applyFont="1" applyProtection="1">
      <protection locked="0"/>
    </xf>
    <xf numFmtId="170" fontId="29" fillId="0" borderId="0" xfId="0" applyNumberFormat="1" applyFont="1" applyProtection="1">
      <protection locked="0"/>
    </xf>
    <xf numFmtId="172" fontId="168" fillId="0" borderId="0" xfId="0" applyFont="1" applyProtection="1">
      <protection locked="0"/>
    </xf>
    <xf numFmtId="172" fontId="169" fillId="0" borderId="0" xfId="0" applyFont="1" applyProtection="1">
      <protection locked="0"/>
    </xf>
    <xf numFmtId="172" fontId="170" fillId="0" borderId="0" xfId="0" applyFont="1" applyProtection="1">
      <protection locked="0"/>
    </xf>
    <xf numFmtId="172" fontId="168" fillId="0" borderId="0" xfId="0" applyFont="1" applyAlignment="1" applyProtection="1">
      <alignment horizontal="left" wrapText="1"/>
      <protection locked="0"/>
    </xf>
    <xf numFmtId="3" fontId="29" fillId="0" borderId="1" xfId="0" applyNumberFormat="1" applyFont="1" applyBorder="1" applyProtection="1">
      <protection locked="0"/>
    </xf>
    <xf numFmtId="3" fontId="29" fillId="0" borderId="1" xfId="0" applyNumberFormat="1" applyFont="1" applyBorder="1" applyAlignment="1" applyProtection="1">
      <alignment horizontal="center"/>
      <protection locked="0"/>
    </xf>
    <xf numFmtId="4" fontId="29" fillId="0" borderId="0" xfId="0" applyNumberFormat="1" applyFont="1" applyProtection="1">
      <protection locked="0"/>
    </xf>
    <xf numFmtId="4" fontId="29" fillId="0" borderId="0" xfId="0" applyNumberFormat="1" applyFont="1" applyProtection="1"/>
    <xf numFmtId="3" fontId="29" fillId="0" borderId="1" xfId="0" applyNumberFormat="1" applyFont="1" applyBorder="1" applyProtection="1"/>
    <xf numFmtId="166" fontId="29" fillId="0" borderId="0" xfId="0" applyNumberFormat="1" applyFont="1" applyAlignment="1" applyProtection="1">
      <alignment horizontal="center"/>
    </xf>
    <xf numFmtId="170" fontId="164" fillId="2" borderId="0" xfId="0" applyNumberFormat="1" applyFont="1" applyFill="1" applyProtection="1">
      <protection locked="0"/>
    </xf>
    <xf numFmtId="42" fontId="164" fillId="2" borderId="0" xfId="0" applyNumberFormat="1" applyFont="1" applyFill="1" applyProtection="1">
      <protection locked="0"/>
    </xf>
    <xf numFmtId="0" fontId="155" fillId="0" borderId="0" xfId="0" applyNumberFormat="1" applyFont="1" applyProtection="1">
      <protection locked="0"/>
    </xf>
    <xf numFmtId="9" fontId="29" fillId="0" borderId="0" xfId="0" applyNumberFormat="1" applyFont="1" applyProtection="1"/>
    <xf numFmtId="169" fontId="29" fillId="0" borderId="0" xfId="0" applyNumberFormat="1" applyFont="1" applyProtection="1">
      <protection locked="0"/>
    </xf>
    <xf numFmtId="169" fontId="29" fillId="0" borderId="0" xfId="0" applyNumberFormat="1" applyFont="1" applyProtection="1"/>
    <xf numFmtId="3" fontId="29" fillId="0" borderId="0" xfId="0" quotePrefix="1" applyNumberFormat="1" applyFont="1" applyProtection="1">
      <protection locked="0"/>
    </xf>
    <xf numFmtId="169" fontId="29" fillId="0" borderId="1" xfId="0" applyNumberFormat="1" applyFont="1" applyBorder="1" applyProtection="1"/>
    <xf numFmtId="3" fontId="121" fillId="0" borderId="0" xfId="0" applyNumberFormat="1" applyFont="1" applyAlignment="1" applyProtection="1">
      <alignment horizontal="center"/>
    </xf>
    <xf numFmtId="0" fontId="29" fillId="0" borderId="0" xfId="0" applyNumberFormat="1" applyFont="1" applyAlignment="1" applyProtection="1">
      <alignment horizontal="left" indent="8"/>
      <protection locked="0"/>
    </xf>
    <xf numFmtId="10" fontId="29" fillId="2" borderId="0" xfId="0" applyNumberFormat="1" applyFont="1" applyFill="1" applyAlignment="1" applyProtection="1">
      <alignment vertical="top" wrapText="1"/>
      <protection locked="0"/>
    </xf>
    <xf numFmtId="174" fontId="29" fillId="74" borderId="0" xfId="4665" applyNumberFormat="1" applyFont="1" applyFill="1" applyAlignment="1"/>
    <xf numFmtId="174" fontId="164" fillId="0" borderId="0" xfId="190" applyNumberFormat="1" applyFont="1" applyFill="1" applyAlignment="1"/>
    <xf numFmtId="3" fontId="171" fillId="0" borderId="0" xfId="0" applyNumberFormat="1" applyFont="1" applyProtection="1">
      <protection locked="0"/>
    </xf>
    <xf numFmtId="43" fontId="29" fillId="0" borderId="0" xfId="4665" applyFont="1" applyFill="1" applyAlignment="1"/>
    <xf numFmtId="166" fontId="29" fillId="0" borderId="0" xfId="4665" applyNumberFormat="1" applyFont="1" applyFill="1" applyAlignment="1"/>
    <xf numFmtId="3" fontId="29" fillId="0" borderId="4" xfId="4597" applyNumberFormat="1" applyFont="1" applyBorder="1"/>
    <xf numFmtId="3" fontId="29" fillId="0" borderId="4" xfId="0" applyNumberFormat="1" applyFont="1" applyBorder="1" applyProtection="1"/>
    <xf numFmtId="0" fontId="29" fillId="0" borderId="4" xfId="0" applyNumberFormat="1" applyFont="1" applyBorder="1" applyProtection="1">
      <protection locked="0"/>
    </xf>
    <xf numFmtId="3" fontId="29" fillId="0" borderId="4" xfId="0" applyNumberFormat="1" applyFont="1" applyBorder="1" applyProtection="1">
      <protection locked="0"/>
    </xf>
    <xf numFmtId="49" fontId="29" fillId="0" borderId="4" xfId="0" applyNumberFormat="1" applyFont="1" applyBorder="1" applyProtection="1">
      <protection locked="0"/>
    </xf>
    <xf numFmtId="174" fontId="29" fillId="0" borderId="4" xfId="190" applyNumberFormat="1" applyFont="1" applyFill="1" applyBorder="1" applyAlignment="1"/>
    <xf numFmtId="3" fontId="29" fillId="0" borderId="3" xfId="0" applyNumberFormat="1" applyFont="1" applyBorder="1" applyAlignment="1" applyProtection="1">
      <alignment horizontal="center"/>
      <protection locked="0"/>
    </xf>
    <xf numFmtId="172" fontId="121" fillId="0" borderId="0" xfId="0" applyFont="1" applyAlignment="1">
      <alignment horizontal="center"/>
    </xf>
    <xf numFmtId="0" fontId="155" fillId="0" borderId="0" xfId="0" applyNumberFormat="1" applyFont="1" applyAlignment="1">
      <alignment horizontal="center"/>
    </xf>
    <xf numFmtId="0" fontId="29" fillId="0" borderId="0" xfId="4155" applyNumberFormat="1" applyFont="1" applyAlignment="1" applyProtection="1">
      <alignment horizontal="right"/>
      <protection locked="0"/>
    </xf>
    <xf numFmtId="172" fontId="8" fillId="0" borderId="0" xfId="0" applyFont="1"/>
    <xf numFmtId="172" fontId="173" fillId="0" borderId="0" xfId="0" applyFont="1"/>
    <xf numFmtId="172" fontId="8" fillId="0" borderId="0" xfId="0" applyFont="1" applyAlignment="1">
      <alignment horizontal="right"/>
    </xf>
    <xf numFmtId="172" fontId="8" fillId="0" borderId="0" xfId="0" applyFont="1" applyAlignment="1">
      <alignment vertical="top" wrapText="1"/>
    </xf>
    <xf numFmtId="172" fontId="8" fillId="3" borderId="0" xfId="0" applyFont="1" applyFill="1"/>
    <xf numFmtId="172" fontId="8" fillId="74" borderId="0" xfId="0" applyFont="1" applyFill="1"/>
    <xf numFmtId="172" fontId="8" fillId="0" borderId="0" xfId="0" applyFont="1" applyAlignment="1">
      <alignment vertical="top"/>
    </xf>
    <xf numFmtId="172" fontId="173" fillId="0" borderId="1" xfId="0" applyFont="1" applyBorder="1"/>
    <xf numFmtId="172" fontId="173" fillId="0" borderId="1" xfId="0" applyFont="1" applyBorder="1" applyAlignment="1">
      <alignment horizontal="center"/>
    </xf>
    <xf numFmtId="172" fontId="8" fillId="0" borderId="0" xfId="0" applyFont="1" applyAlignment="1">
      <alignment horizontal="center"/>
    </xf>
    <xf numFmtId="172" fontId="174" fillId="0" borderId="0" xfId="4663" applyNumberFormat="1" applyFont="1" applyFill="1" applyAlignment="1" applyProtection="1"/>
    <xf numFmtId="172" fontId="8" fillId="0" borderId="0" xfId="0" quotePrefix="1" applyFont="1" applyAlignment="1">
      <alignment horizontal="center"/>
    </xf>
    <xf numFmtId="172" fontId="8" fillId="0" borderId="0" xfId="0" applyFont="1" applyProtection="1"/>
    <xf numFmtId="172" fontId="175" fillId="0" borderId="0" xfId="0" applyFont="1"/>
    <xf numFmtId="172" fontId="8" fillId="0" borderId="0" xfId="0" quotePrefix="1" applyFont="1"/>
    <xf numFmtId="0" fontId="29" fillId="0" borderId="0" xfId="4" applyFont="1"/>
    <xf numFmtId="0" fontId="29" fillId="0" borderId="0" xfId="4" applyFont="1" applyAlignment="1">
      <alignment horizontal="right"/>
    </xf>
    <xf numFmtId="0" fontId="29" fillId="0" borderId="0" xfId="4" applyFont="1" applyAlignment="1">
      <alignment horizontal="center"/>
    </xf>
    <xf numFmtId="3" fontId="29" fillId="0" borderId="0" xfId="0" applyNumberFormat="1" applyFont="1" applyAlignment="1">
      <alignment horizontal="center"/>
    </xf>
    <xf numFmtId="3" fontId="29" fillId="0" borderId="0" xfId="0" applyNumberFormat="1" applyFont="1"/>
    <xf numFmtId="0" fontId="29" fillId="0" borderId="3" xfId="4" applyFont="1" applyBorder="1" applyAlignment="1">
      <alignment horizontal="center"/>
    </xf>
    <xf numFmtId="172" fontId="29" fillId="0" borderId="3" xfId="0" applyFont="1" applyBorder="1" applyAlignment="1">
      <alignment horizontal="center"/>
    </xf>
    <xf numFmtId="0" fontId="29" fillId="0" borderId="3" xfId="0" applyNumberFormat="1" applyFont="1" applyBorder="1" applyAlignment="1" applyProtection="1">
      <alignment horizontal="center"/>
      <protection locked="0"/>
    </xf>
    <xf numFmtId="173" fontId="164" fillId="2" borderId="0" xfId="1" applyNumberFormat="1" applyFont="1" applyFill="1" applyBorder="1"/>
    <xf numFmtId="174" fontId="29" fillId="0" borderId="0" xfId="190" applyNumberFormat="1" applyFont="1" applyFill="1"/>
    <xf numFmtId="173" fontId="29" fillId="0" borderId="14" xfId="1" applyNumberFormat="1" applyFont="1" applyFill="1" applyBorder="1"/>
    <xf numFmtId="44" fontId="29" fillId="0" borderId="0" xfId="4" applyNumberFormat="1" applyFont="1"/>
    <xf numFmtId="0" fontId="121" fillId="0" borderId="0" xfId="4" applyFont="1"/>
    <xf numFmtId="174" fontId="29" fillId="0" borderId="0" xfId="190" applyNumberFormat="1" applyFont="1"/>
    <xf numFmtId="174" fontId="29" fillId="0" borderId="4" xfId="190" applyNumberFormat="1" applyFont="1" applyFill="1" applyBorder="1"/>
    <xf numFmtId="174" fontId="121" fillId="0" borderId="0" xfId="190" applyNumberFormat="1" applyFont="1" applyFill="1"/>
    <xf numFmtId="173" fontId="29" fillId="0" borderId="0" xfId="1" applyNumberFormat="1" applyFont="1" applyFill="1" applyBorder="1"/>
    <xf numFmtId="0" fontId="155" fillId="0" borderId="0" xfId="4" applyFont="1"/>
    <xf numFmtId="9" fontId="29" fillId="0" borderId="0" xfId="4475" applyFont="1"/>
    <xf numFmtId="172" fontId="121" fillId="0" borderId="0" xfId="0" applyFont="1" applyAlignment="1">
      <alignment horizontal="right"/>
    </xf>
    <xf numFmtId="49" fontId="121" fillId="0" borderId="0" xfId="4598" applyNumberFormat="1" applyFont="1" applyAlignment="1">
      <alignment horizontal="center"/>
    </xf>
    <xf numFmtId="0" fontId="29" fillId="0" borderId="3" xfId="4" applyFont="1" applyBorder="1"/>
    <xf numFmtId="10" fontId="29" fillId="0" borderId="0" xfId="3" applyNumberFormat="1" applyFont="1" applyFill="1"/>
    <xf numFmtId="10" fontId="29" fillId="0" borderId="0" xfId="4" applyNumberFormat="1" applyFont="1"/>
    <xf numFmtId="49" fontId="121" fillId="0" borderId="0" xfId="4" applyNumberFormat="1" applyFont="1"/>
    <xf numFmtId="172" fontId="121" fillId="0" borderId="0" xfId="0" applyFont="1" applyAlignment="1" applyProtection="1">
      <alignment horizontal="center" wrapText="1"/>
      <protection locked="0"/>
    </xf>
    <xf numFmtId="172" fontId="121" fillId="0" borderId="3" xfId="0" applyFont="1" applyBorder="1" applyAlignment="1" applyProtection="1">
      <alignment horizontal="center"/>
      <protection locked="0"/>
    </xf>
    <xf numFmtId="172" fontId="121" fillId="0" borderId="3" xfId="0" applyFont="1" applyBorder="1" applyAlignment="1" applyProtection="1">
      <alignment horizontal="center" wrapText="1"/>
      <protection locked="0"/>
    </xf>
    <xf numFmtId="174" fontId="29" fillId="0" borderId="0" xfId="4665" applyNumberFormat="1" applyFont="1" applyBorder="1" applyAlignment="1">
      <alignment horizontal="center"/>
    </xf>
    <xf numFmtId="10" fontId="8" fillId="56" borderId="0" xfId="4352" applyNumberFormat="1" applyFont="1" applyFill="1" applyBorder="1"/>
    <xf numFmtId="307" fontId="8" fillId="56" borderId="0" xfId="0" applyNumberFormat="1" applyFont="1" applyFill="1"/>
    <xf numFmtId="10" fontId="29" fillId="0" borderId="0" xfId="4666" applyNumberFormat="1" applyFont="1" applyBorder="1" applyAlignment="1">
      <alignment horizontal="right"/>
    </xf>
    <xf numFmtId="172" fontId="29" fillId="0" borderId="0" xfId="0" applyFont="1" applyAlignment="1" applyProtection="1">
      <alignment horizontal="right"/>
    </xf>
    <xf numFmtId="174" fontId="29" fillId="0" borderId="0" xfId="0" applyNumberFormat="1" applyFont="1" applyProtection="1"/>
    <xf numFmtId="174" fontId="29" fillId="0" borderId="17" xfId="0" applyNumberFormat="1" applyFont="1" applyBorder="1" applyProtection="1"/>
    <xf numFmtId="10" fontId="29" fillId="0" borderId="0" xfId="3" applyNumberFormat="1" applyFont="1" applyFill="1" applyBorder="1"/>
    <xf numFmtId="0" fontId="29" fillId="0" borderId="0" xfId="4476" applyFont="1"/>
    <xf numFmtId="0" fontId="29" fillId="0" borderId="0" xfId="4476" applyFont="1" applyAlignment="1">
      <alignment horizontal="center"/>
    </xf>
    <xf numFmtId="0" fontId="29" fillId="0" borderId="0" xfId="4476" applyFont="1" applyAlignment="1">
      <alignment horizontal="right"/>
    </xf>
    <xf numFmtId="0" fontId="121" fillId="0" borderId="0" xfId="4476" applyFont="1" applyAlignment="1">
      <alignment horizontal="left"/>
    </xf>
    <xf numFmtId="0" fontId="29" fillId="0" borderId="0" xfId="4476" applyFont="1" applyAlignment="1">
      <alignment horizontal="left"/>
    </xf>
    <xf numFmtId="16" fontId="29" fillId="0" borderId="0" xfId="4476" applyNumberFormat="1" applyFont="1" applyAlignment="1">
      <alignment horizontal="center"/>
    </xf>
    <xf numFmtId="0" fontId="29" fillId="0" borderId="0" xfId="4476" applyFont="1" applyAlignment="1">
      <alignment horizontal="left" wrapText="1"/>
    </xf>
    <xf numFmtId="0" fontId="29" fillId="0" borderId="0" xfId="4476" applyFont="1" applyAlignment="1">
      <alignment wrapText="1"/>
    </xf>
    <xf numFmtId="0" fontId="121" fillId="0" borderId="1" xfId="4476" applyFont="1" applyBorder="1" applyAlignment="1">
      <alignment horizontal="center" wrapText="1"/>
    </xf>
    <xf numFmtId="174" fontId="29" fillId="0" borderId="0" xfId="190" applyNumberFormat="1" applyFont="1" applyFill="1" applyBorder="1" applyAlignment="1" applyProtection="1">
      <alignment wrapText="1"/>
    </xf>
    <xf numFmtId="173" fontId="29" fillId="0" borderId="0" xfId="4476" applyNumberFormat="1" applyFont="1"/>
    <xf numFmtId="174" fontId="176" fillId="0" borderId="0" xfId="190" applyNumberFormat="1" applyFont="1" applyFill="1" applyProtection="1"/>
    <xf numFmtId="0" fontId="177" fillId="0" borderId="0" xfId="4476" applyFont="1" applyAlignment="1">
      <alignment horizontal="center"/>
    </xf>
    <xf numFmtId="174" fontId="176" fillId="0" borderId="0" xfId="4477" applyNumberFormat="1" applyFont="1" applyFill="1" applyProtection="1"/>
    <xf numFmtId="173" fontId="29" fillId="0" borderId="0" xfId="1" applyNumberFormat="1" applyFont="1" applyFill="1" applyProtection="1"/>
    <xf numFmtId="0" fontId="121" fillId="0" borderId="3" xfId="4476" applyFont="1" applyBorder="1" applyAlignment="1">
      <alignment horizontal="left"/>
    </xf>
    <xf numFmtId="0" fontId="29" fillId="0" borderId="3" xfId="4476" applyFont="1" applyBorder="1" applyAlignment="1">
      <alignment horizontal="center"/>
    </xf>
    <xf numFmtId="0" fontId="29" fillId="0" borderId="3" xfId="4476" applyFont="1" applyBorder="1" applyAlignment="1">
      <alignment wrapText="1"/>
    </xf>
    <xf numFmtId="0" fontId="121" fillId="0" borderId="3" xfId="4476" applyFont="1" applyBorder="1" applyAlignment="1">
      <alignment horizontal="center" wrapText="1"/>
    </xf>
    <xf numFmtId="174" fontId="29" fillId="0" borderId="0" xfId="190" applyNumberFormat="1" applyFont="1" applyFill="1" applyBorder="1" applyProtection="1"/>
    <xf numFmtId="193" fontId="29" fillId="0" borderId="4" xfId="4352" applyNumberFormat="1" applyFont="1" applyBorder="1" applyAlignment="1" applyProtection="1">
      <alignment wrapText="1"/>
    </xf>
    <xf numFmtId="174" fontId="29" fillId="0" borderId="0" xfId="190" applyNumberFormat="1" applyFont="1" applyAlignment="1" applyProtection="1">
      <alignment wrapText="1"/>
    </xf>
    <xf numFmtId="0" fontId="29" fillId="0" borderId="3" xfId="4476" applyFont="1" applyBorder="1"/>
    <xf numFmtId="0" fontId="121" fillId="0" borderId="0" xfId="4476" applyFont="1" applyAlignment="1">
      <alignment horizontal="center" wrapText="1"/>
    </xf>
    <xf numFmtId="193" fontId="164" fillId="3" borderId="0" xfId="4352" applyNumberFormat="1" applyFont="1" applyFill="1" applyAlignment="1" applyProtection="1">
      <alignment wrapText="1"/>
    </xf>
    <xf numFmtId="193" fontId="29" fillId="0" borderId="4" xfId="4476" applyNumberFormat="1" applyFont="1" applyBorder="1" applyAlignment="1">
      <alignment wrapText="1"/>
    </xf>
    <xf numFmtId="193" fontId="29" fillId="0" borderId="0" xfId="4476" applyNumberFormat="1" applyFont="1" applyAlignment="1">
      <alignment wrapText="1"/>
    </xf>
    <xf numFmtId="193" fontId="29" fillId="0" borderId="0" xfId="4352" applyNumberFormat="1" applyFont="1" applyAlignment="1" applyProtection="1">
      <alignment wrapText="1"/>
    </xf>
    <xf numFmtId="42" fontId="29" fillId="0" borderId="0" xfId="4476" applyNumberFormat="1" applyFont="1" applyAlignment="1">
      <alignment horizontal="right"/>
    </xf>
    <xf numFmtId="41" fontId="29" fillId="0" borderId="0" xfId="190" applyNumberFormat="1" applyFont="1" applyFill="1" applyAlignment="1" applyProtection="1">
      <alignment horizontal="right"/>
    </xf>
    <xf numFmtId="174" fontId="29" fillId="0" borderId="0" xfId="4476" applyNumberFormat="1" applyFont="1"/>
    <xf numFmtId="0" fontId="29" fillId="0" borderId="0" xfId="4476" applyFont="1" applyAlignment="1">
      <alignment horizontal="center" vertical="top"/>
    </xf>
    <xf numFmtId="0" fontId="8" fillId="0" borderId="0" xfId="4476" applyFont="1" applyAlignment="1">
      <alignment horizontal="center"/>
    </xf>
    <xf numFmtId="0" fontId="8" fillId="0" borderId="0" xfId="4476" applyFont="1"/>
    <xf numFmtId="172" fontId="29" fillId="0" borderId="0" xfId="4667" applyNumberFormat="1" applyFont="1" applyAlignment="1"/>
    <xf numFmtId="172" fontId="29" fillId="0" borderId="0" xfId="4667" applyNumberFormat="1" applyFont="1" applyAlignment="1">
      <alignment horizontal="right"/>
    </xf>
    <xf numFmtId="0" fontId="29" fillId="0" borderId="0" xfId="4667" applyNumberFormat="1" applyFont="1" applyAlignment="1"/>
    <xf numFmtId="172" fontId="29" fillId="0" borderId="0" xfId="4667" applyNumberFormat="1" applyFont="1" applyBorder="1" applyAlignment="1"/>
    <xf numFmtId="0" fontId="29" fillId="0" borderId="0" xfId="4667" applyNumberFormat="1" applyFont="1" applyBorder="1" applyAlignment="1"/>
    <xf numFmtId="193" fontId="29" fillId="0" borderId="0" xfId="4667" applyNumberFormat="1" applyFont="1" applyAlignment="1"/>
    <xf numFmtId="172" fontId="29" fillId="0" borderId="0" xfId="4667" applyNumberFormat="1" applyFont="1" applyFill="1" applyBorder="1" applyAlignment="1"/>
    <xf numFmtId="306" fontId="37" fillId="0" borderId="0" xfId="4667" applyNumberFormat="1" applyFont="1" applyFill="1" applyAlignment="1">
      <alignment horizontal="left"/>
    </xf>
    <xf numFmtId="41" fontId="29" fillId="77" borderId="0" xfId="1" applyNumberFormat="1" applyFont="1" applyFill="1" applyAlignment="1" applyProtection="1">
      <protection locked="0"/>
    </xf>
    <xf numFmtId="41" fontId="29" fillId="77" borderId="38" xfId="1" applyNumberFormat="1" applyFont="1" applyFill="1" applyBorder="1" applyAlignment="1" applyProtection="1">
      <protection locked="0"/>
    </xf>
    <xf numFmtId="173" fontId="29" fillId="0" borderId="0" xfId="1" applyNumberFormat="1" applyFont="1" applyFill="1" applyBorder="1" applyAlignment="1"/>
    <xf numFmtId="172" fontId="29" fillId="0" borderId="38" xfId="4667" applyNumberFormat="1" applyFont="1" applyBorder="1" applyAlignment="1"/>
    <xf numFmtId="172" fontId="155" fillId="0" borderId="0" xfId="4667" applyNumberFormat="1" applyFont="1" applyBorder="1" applyAlignment="1">
      <alignment horizontal="center"/>
    </xf>
    <xf numFmtId="306" fontId="29" fillId="3" borderId="0" xfId="4667" quotePrefix="1" applyNumberFormat="1" applyFont="1" applyFill="1" applyAlignment="1">
      <alignment horizontal="left"/>
    </xf>
    <xf numFmtId="42" fontId="37" fillId="0" borderId="0" xfId="4667" applyNumberFormat="1" applyFont="1" applyAlignment="1"/>
    <xf numFmtId="42" fontId="37" fillId="0" borderId="0" xfId="4667" applyNumberFormat="1" applyFont="1" applyBorder="1" applyAlignment="1"/>
    <xf numFmtId="42" fontId="37" fillId="0" borderId="38" xfId="4667" applyNumberFormat="1" applyFont="1" applyBorder="1" applyAlignment="1"/>
    <xf numFmtId="42" fontId="37" fillId="0" borderId="0" xfId="1" applyNumberFormat="1" applyFont="1" applyFill="1" applyBorder="1" applyAlignment="1"/>
    <xf numFmtId="42" fontId="29" fillId="0" borderId="38" xfId="4667" applyNumberFormat="1" applyFont="1" applyBorder="1" applyAlignment="1"/>
    <xf numFmtId="42" fontId="29" fillId="0" borderId="0" xfId="4667" applyNumberFormat="1" applyFont="1" applyBorder="1" applyAlignment="1"/>
    <xf numFmtId="306" fontId="29" fillId="0" borderId="0" xfId="4667" applyNumberFormat="1" applyFont="1" applyFill="1" applyAlignment="1">
      <alignment horizontal="left"/>
    </xf>
    <xf numFmtId="170" fontId="29" fillId="0" borderId="0" xfId="4667" applyNumberFormat="1" applyFont="1" applyAlignment="1"/>
    <xf numFmtId="172" fontId="29" fillId="0" borderId="0" xfId="4667" applyNumberFormat="1" applyFont="1" applyFill="1" applyAlignment="1"/>
    <xf numFmtId="172" fontId="155" fillId="0" borderId="0" xfId="4667" applyNumberFormat="1" applyFont="1" applyAlignment="1">
      <alignment horizontal="center"/>
    </xf>
    <xf numFmtId="172" fontId="121" fillId="0" borderId="0" xfId="4667" quotePrefix="1" applyNumberFormat="1" applyFont="1" applyFill="1" applyAlignment="1"/>
    <xf numFmtId="172" fontId="29" fillId="0" borderId="0" xfId="4667" applyNumberFormat="1" applyFont="1" applyAlignment="1">
      <alignment horizontal="center" vertical="top"/>
    </xf>
    <xf numFmtId="172" fontId="29" fillId="0" borderId="0" xfId="4667" applyNumberFormat="1" applyFont="1" applyBorder="1" applyAlignment="1">
      <alignment horizontal="center"/>
    </xf>
    <xf numFmtId="172" fontId="29" fillId="0" borderId="3" xfId="4667" applyNumberFormat="1" applyFont="1" applyFill="1" applyBorder="1"/>
    <xf numFmtId="172" fontId="29" fillId="0" borderId="0" xfId="4667" applyNumberFormat="1" applyFont="1" applyFill="1"/>
    <xf numFmtId="0" fontId="29" fillId="0" borderId="0" xfId="4667" applyNumberFormat="1" applyFont="1" applyFill="1" applyAlignment="1">
      <alignment horizontal="center"/>
    </xf>
    <xf numFmtId="172" fontId="121" fillId="0" borderId="17" xfId="4667" applyNumberFormat="1" applyFont="1" applyFill="1" applyBorder="1" applyAlignment="1">
      <alignment horizontal="center" wrapText="1"/>
    </xf>
    <xf numFmtId="172" fontId="121" fillId="0" borderId="54" xfId="4667" applyNumberFormat="1" applyFont="1" applyFill="1" applyBorder="1" applyAlignment="1">
      <alignment horizontal="center" wrapText="1"/>
    </xf>
    <xf numFmtId="172" fontId="29" fillId="0" borderId="0" xfId="0" applyFont="1" applyAlignment="1">
      <alignment horizontal="left" vertical="center" wrapText="1"/>
    </xf>
    <xf numFmtId="0" fontId="29" fillId="0" borderId="0" xfId="4228" applyFont="1" applyAlignment="1">
      <alignment horizontal="left" vertical="top" wrapText="1"/>
    </xf>
    <xf numFmtId="44" fontId="29" fillId="0" borderId="0" xfId="4" applyNumberFormat="1" applyFont="1" applyAlignment="1">
      <alignment horizontal="center"/>
    </xf>
    <xf numFmtId="10" fontId="29" fillId="0" borderId="0" xfId="4665" applyNumberFormat="1" applyFont="1" applyFill="1" applyAlignment="1">
      <alignment horizontal="center"/>
    </xf>
    <xf numFmtId="10" fontId="29" fillId="0" borderId="0" xfId="3" applyNumberFormat="1" applyFont="1" applyFill="1" applyAlignment="1">
      <alignment horizontal="center"/>
    </xf>
    <xf numFmtId="0" fontId="29" fillId="0" borderId="4" xfId="4" applyFont="1" applyBorder="1"/>
    <xf numFmtId="10" fontId="29"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29" fillId="0" borderId="0" xfId="4598" applyFont="1" applyAlignment="1">
      <alignment horizontal="center"/>
    </xf>
    <xf numFmtId="44" fontId="163"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79" fillId="3" borderId="0" xfId="0" applyNumberFormat="1" applyFont="1" applyFill="1" applyAlignment="1">
      <alignment horizontal="center"/>
    </xf>
    <xf numFmtId="0" fontId="163" fillId="0" borderId="0" xfId="0" applyNumberFormat="1" applyFont="1" applyProtection="1">
      <protection locked="0"/>
    </xf>
    <xf numFmtId="172" fontId="121" fillId="0" borderId="0" xfId="4667" applyNumberFormat="1" applyFont="1" applyBorder="1" applyAlignment="1"/>
    <xf numFmtId="172" fontId="29" fillId="0" borderId="37" xfId="4667" applyNumberFormat="1" applyFont="1" applyFill="1" applyBorder="1" applyAlignment="1"/>
    <xf numFmtId="41" fontId="29" fillId="77" borderId="0" xfId="1" applyNumberFormat="1" applyFont="1" applyFill="1" applyBorder="1" applyAlignment="1" applyProtection="1">
      <protection locked="0"/>
    </xf>
    <xf numFmtId="172" fontId="29" fillId="0" borderId="37" xfId="4667" applyNumberFormat="1" applyFont="1" applyBorder="1" applyAlignment="1"/>
    <xf numFmtId="172" fontId="155" fillId="0" borderId="37" xfId="4667" applyNumberFormat="1" applyFont="1" applyBorder="1" applyAlignment="1">
      <alignment horizontal="center"/>
    </xf>
    <xf numFmtId="172" fontId="180" fillId="0" borderId="0" xfId="0" applyFont="1" applyAlignment="1">
      <alignment horizontal="left"/>
    </xf>
    <xf numFmtId="42" fontId="179" fillId="78"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7"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1" fillId="0" borderId="0" xfId="4667" applyNumberFormat="1" applyFont="1" applyFill="1" applyAlignment="1">
      <alignment horizontal="center"/>
    </xf>
    <xf numFmtId="0" fontId="29" fillId="0" borderId="0" xfId="4671" applyFont="1"/>
    <xf numFmtId="0" fontId="29" fillId="0" borderId="0" xfId="4671" quotePrefix="1" applyFont="1"/>
    <xf numFmtId="0" fontId="29" fillId="0" borderId="0" xfId="4671" applyFont="1" applyAlignment="1">
      <alignment horizontal="center"/>
    </xf>
    <xf numFmtId="37" fontId="29" fillId="0" borderId="0" xfId="4671" applyNumberFormat="1" applyFont="1" applyAlignment="1">
      <alignment horizontal="right"/>
    </xf>
    <xf numFmtId="0" fontId="184" fillId="0" borderId="27" xfId="4671" applyFont="1" applyBorder="1"/>
    <xf numFmtId="37" fontId="29" fillId="0" borderId="0" xfId="4671" applyNumberFormat="1" applyFont="1"/>
    <xf numFmtId="0" fontId="29" fillId="0" borderId="0" xfId="4671" applyFont="1" applyAlignment="1">
      <alignment horizontal="left" indent="1"/>
    </xf>
    <xf numFmtId="5" fontId="29" fillId="0" borderId="0" xfId="4671" applyNumberFormat="1" applyFont="1"/>
    <xf numFmtId="0" fontId="29" fillId="0" borderId="0" xfId="4671" applyFont="1" applyAlignment="1">
      <alignment horizontal="left" indent="2"/>
    </xf>
    <xf numFmtId="0" fontId="130" fillId="0" borderId="0" xfId="4473" applyFont="1" applyAlignment="1">
      <alignment horizontal="left" indent="2"/>
    </xf>
    <xf numFmtId="0" fontId="184" fillId="0" borderId="0" xfId="4671" applyFont="1" applyAlignment="1">
      <alignment horizontal="left"/>
    </xf>
    <xf numFmtId="212" fontId="29" fillId="0" borderId="0" xfId="4671" applyNumberFormat="1" applyFont="1"/>
    <xf numFmtId="309" fontId="29" fillId="0" borderId="0" xfId="4671" applyNumberFormat="1" applyFont="1"/>
    <xf numFmtId="0" fontId="121" fillId="0" borderId="0" xfId="4671" applyFont="1"/>
    <xf numFmtId="0" fontId="155" fillId="0" borderId="0" xfId="4" applyFont="1" applyAlignment="1">
      <alignment horizontal="center"/>
    </xf>
    <xf numFmtId="174" fontId="29" fillId="0" borderId="0" xfId="4665" applyNumberFormat="1" applyFont="1" applyFill="1" applyAlignment="1" applyProtection="1">
      <alignment horizontal="center"/>
      <protection locked="0"/>
    </xf>
    <xf numFmtId="43" fontId="29" fillId="0" borderId="0" xfId="190" applyFont="1" applyFill="1" applyAlignment="1"/>
    <xf numFmtId="172" fontId="29" fillId="0" borderId="0" xfId="4667" applyNumberFormat="1" applyFont="1" applyFill="1" applyAlignment="1">
      <alignment horizontal="right"/>
    </xf>
    <xf numFmtId="172" fontId="121" fillId="0" borderId="0" xfId="4667" applyNumberFormat="1" applyFont="1" applyBorder="1"/>
    <xf numFmtId="172" fontId="121" fillId="0" borderId="0" xfId="4667" applyNumberFormat="1" applyFont="1" applyBorder="1" applyAlignment="1">
      <alignment horizontal="center"/>
    </xf>
    <xf numFmtId="172" fontId="29" fillId="0" borderId="0" xfId="4667" quotePrefix="1" applyNumberFormat="1" applyFont="1" applyAlignment="1">
      <alignment horizontal="center"/>
    </xf>
    <xf numFmtId="172" fontId="29" fillId="0" borderId="0" xfId="4667" quotePrefix="1" applyNumberFormat="1" applyFont="1" applyFill="1" applyAlignment="1">
      <alignment horizontal="center"/>
    </xf>
    <xf numFmtId="172" fontId="121" fillId="0" borderId="0" xfId="4667" applyNumberFormat="1" applyFont="1" applyAlignment="1"/>
    <xf numFmtId="172" fontId="121" fillId="0" borderId="0" xfId="4667" applyNumberFormat="1" applyFont="1" applyAlignment="1">
      <alignment horizontal="center"/>
    </xf>
    <xf numFmtId="172" fontId="121" fillId="0" borderId="1" xfId="4667" applyNumberFormat="1" applyFont="1" applyBorder="1" applyAlignment="1">
      <alignment horizontal="center"/>
    </xf>
    <xf numFmtId="172" fontId="121" fillId="0" borderId="1" xfId="4667" applyNumberFormat="1" applyFont="1" applyFill="1" applyBorder="1" applyAlignment="1">
      <alignment horizontal="center"/>
    </xf>
    <xf numFmtId="0" fontId="29" fillId="0" borderId="0" xfId="190" applyNumberFormat="1" applyFont="1" applyAlignment="1">
      <alignment horizontal="center"/>
    </xf>
    <xf numFmtId="170" fontId="29" fillId="0" borderId="0" xfId="190" applyNumberFormat="1" applyFont="1" applyFill="1" applyBorder="1" applyAlignment="1"/>
    <xf numFmtId="0" fontId="29" fillId="0" borderId="0" xfId="4667" applyNumberFormat="1" applyFont="1" applyAlignment="1">
      <alignment horizontal="center"/>
    </xf>
    <xf numFmtId="193" fontId="29" fillId="0" borderId="0" xfId="4667" applyNumberFormat="1" applyFont="1" applyFill="1" applyAlignment="1"/>
    <xf numFmtId="41" fontId="29" fillId="0" borderId="0" xfId="4668" applyNumberFormat="1" applyFont="1" applyProtection="1">
      <protection locked="0"/>
    </xf>
    <xf numFmtId="271" fontId="29" fillId="78" borderId="0" xfId="190" applyNumberFormat="1" applyFont="1" applyFill="1" applyAlignment="1"/>
    <xf numFmtId="41" fontId="29" fillId="0" borderId="0" xfId="4667" applyNumberFormat="1" applyFont="1" applyFill="1" applyBorder="1" applyAlignment="1"/>
    <xf numFmtId="172" fontId="29" fillId="0" borderId="4" xfId="4667" applyNumberFormat="1" applyFont="1" applyFill="1" applyBorder="1" applyAlignment="1"/>
    <xf numFmtId="173" fontId="29" fillId="0" borderId="4" xfId="1" applyNumberFormat="1" applyFont="1" applyFill="1" applyBorder="1" applyAlignment="1"/>
    <xf numFmtId="271" fontId="29" fillId="0" borderId="4" xfId="190" applyNumberFormat="1" applyFont="1" applyFill="1" applyBorder="1" applyAlignment="1"/>
    <xf numFmtId="173" fontId="29" fillId="0" borderId="0" xfId="4668" applyNumberFormat="1" applyFont="1" applyProtection="1">
      <protection locked="0"/>
    </xf>
    <xf numFmtId="0" fontId="29" fillId="0" borderId="4" xfId="4667" applyNumberFormat="1" applyFont="1" applyBorder="1" applyAlignment="1"/>
    <xf numFmtId="1" fontId="29" fillId="0" borderId="4" xfId="4668" applyNumberFormat="1" applyFont="1" applyBorder="1" applyAlignment="1" applyProtection="1">
      <alignment horizontal="left"/>
      <protection locked="0"/>
    </xf>
    <xf numFmtId="173" fontId="29" fillId="0" borderId="4" xfId="4668" applyNumberFormat="1" applyFont="1" applyBorder="1" applyProtection="1">
      <protection locked="0"/>
    </xf>
    <xf numFmtId="173" fontId="29" fillId="0" borderId="0" xfId="1" applyNumberFormat="1" applyFont="1" applyFill="1" applyAlignment="1"/>
    <xf numFmtId="172" fontId="121" fillId="0" borderId="0" xfId="4669" applyFont="1" applyAlignment="1">
      <alignment horizontal="left"/>
    </xf>
    <xf numFmtId="42" fontId="29" fillId="0" borderId="0" xfId="4667" applyNumberFormat="1" applyFont="1" applyAlignment="1"/>
    <xf numFmtId="0" fontId="29" fillId="0" borderId="0" xfId="4667" applyNumberFormat="1" applyFont="1" applyFill="1" applyBorder="1" applyAlignment="1"/>
    <xf numFmtId="41" fontId="114" fillId="0" borderId="0" xfId="4668" applyNumberFormat="1" applyFont="1" applyProtection="1">
      <protection locked="0"/>
    </xf>
    <xf numFmtId="172" fontId="29" fillId="0" borderId="0" xfId="4667" applyNumberFormat="1" applyFont="1" applyFill="1" applyBorder="1" applyAlignment="1">
      <alignment horizontal="center"/>
    </xf>
    <xf numFmtId="193" fontId="29" fillId="0" borderId="0" xfId="4667" applyNumberFormat="1" applyFont="1" applyFill="1" applyBorder="1" applyAlignment="1"/>
    <xf numFmtId="42" fontId="29" fillId="0" borderId="0" xfId="4667" applyNumberFormat="1" applyFont="1" applyFill="1" applyBorder="1" applyAlignment="1"/>
    <xf numFmtId="10" fontId="29" fillId="0" borderId="0" xfId="4667" applyNumberFormat="1" applyFont="1" applyFill="1" applyBorder="1" applyAlignment="1"/>
    <xf numFmtId="41" fontId="185" fillId="0" borderId="0" xfId="4667" applyNumberFormat="1" applyFont="1" applyFill="1" applyBorder="1" applyAlignment="1"/>
    <xf numFmtId="0" fontId="29" fillId="0" borderId="0" xfId="4670" applyFont="1"/>
    <xf numFmtId="1" fontId="164" fillId="3" borderId="0" xfId="0" applyNumberFormat="1" applyFont="1" applyFill="1" applyAlignment="1" applyProtection="1">
      <alignment horizontal="center"/>
      <protection locked="0"/>
    </xf>
    <xf numFmtId="14" fontId="29" fillId="0" borderId="0" xfId="0" applyNumberFormat="1" applyFont="1" applyProtection="1">
      <protection locked="0"/>
    </xf>
    <xf numFmtId="1" fontId="29" fillId="0" borderId="0" xfId="0" applyNumberFormat="1" applyFont="1" applyAlignment="1" applyProtection="1">
      <alignment horizontal="center"/>
      <protection locked="0"/>
    </xf>
    <xf numFmtId="0" fontId="29" fillId="0" borderId="0" xfId="4" applyFont="1" applyAlignment="1">
      <alignment horizontal="center" vertical="top"/>
    </xf>
    <xf numFmtId="42" fontId="29" fillId="0" borderId="0" xfId="0" applyNumberFormat="1" applyFont="1" applyAlignment="1" applyProtection="1">
      <alignment horizontal="right"/>
    </xf>
    <xf numFmtId="0" fontId="29" fillId="0" borderId="0" xfId="0" applyNumberFormat="1" applyFont="1"/>
    <xf numFmtId="3" fontId="164" fillId="3" borderId="0" xfId="0" applyNumberFormat="1" applyFont="1" applyFill="1"/>
    <xf numFmtId="172" fontId="121" fillId="0" borderId="0" xfId="0" applyFont="1"/>
    <xf numFmtId="0" fontId="121" fillId="0" borderId="0" xfId="4" applyFont="1" applyAlignment="1">
      <alignment horizontal="center"/>
    </xf>
    <xf numFmtId="3" fontId="29" fillId="0" borderId="1" xfId="0" applyNumberFormat="1" applyFont="1" applyBorder="1" applyAlignment="1">
      <alignment horizontal="center"/>
    </xf>
    <xf numFmtId="0" fontId="121" fillId="0" borderId="1" xfId="4" applyFont="1" applyBorder="1" applyAlignment="1">
      <alignment horizontal="center"/>
    </xf>
    <xf numFmtId="0" fontId="29" fillId="0" borderId="0" xfId="4" applyFont="1" applyAlignment="1">
      <alignment horizontal="center" vertical="center"/>
    </xf>
    <xf numFmtId="174" fontId="29" fillId="74"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4" fillId="3" borderId="0" xfId="1" applyNumberFormat="1" applyFont="1" applyFill="1" applyAlignment="1"/>
    <xf numFmtId="173" fontId="29" fillId="0" borderId="4" xfId="1" applyNumberFormat="1" applyFont="1" applyFill="1" applyBorder="1"/>
    <xf numFmtId="0" fontId="29" fillId="0" borderId="4" xfId="4671" applyFont="1" applyBorder="1" applyAlignment="1">
      <alignment horizontal="left" indent="1"/>
    </xf>
    <xf numFmtId="42" fontId="121" fillId="0" borderId="0" xfId="1" applyNumberFormat="1" applyFont="1" applyFill="1" applyBorder="1" applyAlignment="1" applyProtection="1">
      <alignment horizontal="right"/>
    </xf>
    <xf numFmtId="42" fontId="29" fillId="0" borderId="0" xfId="0" applyNumberFormat="1" applyFont="1" applyProtection="1">
      <protection locked="0"/>
    </xf>
    <xf numFmtId="42" fontId="29" fillId="0" borderId="0" xfId="4671" applyNumberFormat="1" applyFont="1"/>
    <xf numFmtId="0" fontId="29" fillId="0" borderId="0" xfId="4671" applyFont="1" applyAlignment="1">
      <alignment horizontal="left"/>
    </xf>
    <xf numFmtId="173" fontId="29" fillId="0" borderId="0" xfId="4671" applyNumberFormat="1" applyFont="1"/>
    <xf numFmtId="173" fontId="29" fillId="0" borderId="15" xfId="4671" applyNumberFormat="1" applyFont="1" applyBorder="1"/>
    <xf numFmtId="42" fontId="29" fillId="0" borderId="15" xfId="1" applyNumberFormat="1" applyFont="1" applyFill="1" applyBorder="1" applyAlignment="1" applyProtection="1">
      <alignment horizontal="right"/>
    </xf>
    <xf numFmtId="0" fontId="29" fillId="0" borderId="0" xfId="0" applyNumberFormat="1" applyFont="1" applyAlignment="1" applyProtection="1">
      <alignment vertical="top" wrapText="1"/>
      <protection locked="0"/>
    </xf>
    <xf numFmtId="0" fontId="121" fillId="0" borderId="0" xfId="4155" applyNumberFormat="1" applyFont="1" applyAlignment="1" applyProtection="1">
      <alignment horizontal="center"/>
      <protection locked="0"/>
    </xf>
    <xf numFmtId="49" fontId="121" fillId="0" borderId="0" xfId="4597" applyNumberFormat="1" applyFont="1" applyAlignment="1">
      <alignment horizontal="center"/>
    </xf>
    <xf numFmtId="173" fontId="29" fillId="0" borderId="14" xfId="4476" applyNumberFormat="1" applyFont="1" applyBorder="1"/>
    <xf numFmtId="42" fontId="121" fillId="0" borderId="15" xfId="1" applyNumberFormat="1" applyFont="1" applyFill="1" applyBorder="1" applyAlignment="1" applyProtection="1">
      <alignment horizontal="right"/>
    </xf>
    <xf numFmtId="168" fontId="29" fillId="0" borderId="0" xfId="0" applyNumberFormat="1" applyFont="1" applyProtection="1">
      <protection locked="0"/>
    </xf>
    <xf numFmtId="1" fontId="29" fillId="0" borderId="0" xfId="0" applyNumberFormat="1" applyFont="1" applyProtection="1">
      <protection locked="0"/>
    </xf>
    <xf numFmtId="172" fontId="121" fillId="0" borderId="0" xfId="0" applyFont="1" applyProtection="1">
      <protection locked="0"/>
    </xf>
    <xf numFmtId="172" fontId="188" fillId="0" borderId="0" xfId="0" applyFont="1" applyProtection="1">
      <protection locked="0"/>
    </xf>
    <xf numFmtId="172" fontId="121" fillId="0" borderId="3" xfId="0" applyFont="1" applyBorder="1" applyAlignment="1">
      <alignment horizontal="center"/>
    </xf>
    <xf numFmtId="172" fontId="29" fillId="0" borderId="3" xfId="0" applyFont="1" applyBorder="1"/>
    <xf numFmtId="172" fontId="29" fillId="0" borderId="0" xfId="0" applyFont="1" applyAlignment="1" applyProtection="1">
      <alignment wrapText="1"/>
      <protection locked="0"/>
    </xf>
    <xf numFmtId="0" fontId="130" fillId="0" borderId="0" xfId="4473" applyFont="1" applyAlignment="1">
      <alignment horizontal="center"/>
    </xf>
    <xf numFmtId="0" fontId="29" fillId="0" borderId="0" xfId="4472" applyNumberFormat="1" applyFont="1" applyFill="1" applyBorder="1" applyAlignment="1">
      <alignment horizontal="left"/>
    </xf>
    <xf numFmtId="174" fontId="29" fillId="0" borderId="0" xfId="4472" applyNumberFormat="1" applyFont="1" applyFill="1" applyBorder="1"/>
    <xf numFmtId="0" fontId="29" fillId="0" borderId="0" xfId="4472" applyNumberFormat="1" applyFont="1" applyFill="1" applyBorder="1" applyAlignment="1">
      <alignment horizontal="center"/>
    </xf>
    <xf numFmtId="174" fontId="164" fillId="2" borderId="0" xfId="4472" applyNumberFormat="1" applyFont="1" applyFill="1" applyBorder="1"/>
    <xf numFmtId="174" fontId="29" fillId="0" borderId="4" xfId="4472" applyNumberFormat="1" applyFont="1" applyFill="1" applyBorder="1"/>
    <xf numFmtId="172" fontId="29" fillId="0" borderId="4" xfId="0" applyFont="1" applyBorder="1"/>
    <xf numFmtId="172" fontId="121" fillId="0" borderId="0" xfId="0" applyFont="1" applyAlignment="1" applyProtection="1">
      <alignment horizontal="left"/>
      <protection locked="0"/>
    </xf>
    <xf numFmtId="172" fontId="29" fillId="0" borderId="0" xfId="0" applyFont="1" applyAlignment="1" applyProtection="1">
      <alignment horizontal="centerContinuous"/>
      <protection locked="0"/>
    </xf>
    <xf numFmtId="0" fontId="121" fillId="0" borderId="3" xfId="4471" applyFont="1" applyBorder="1" applyAlignment="1">
      <alignment horizontal="center"/>
    </xf>
    <xf numFmtId="172" fontId="164" fillId="2" borderId="27" xfId="0" applyFont="1" applyFill="1" applyBorder="1"/>
    <xf numFmtId="0" fontId="164" fillId="2" borderId="27" xfId="4471" applyFont="1" applyFill="1" applyBorder="1"/>
    <xf numFmtId="174" fontId="164" fillId="2" borderId="27" xfId="190" applyNumberFormat="1" applyFont="1" applyFill="1" applyBorder="1"/>
    <xf numFmtId="37" fontId="164" fillId="2" borderId="27" xfId="0" applyNumberFormat="1" applyFont="1" applyFill="1" applyBorder="1"/>
    <xf numFmtId="39" fontId="164" fillId="2" borderId="27" xfId="0" applyNumberFormat="1" applyFont="1" applyFill="1" applyBorder="1"/>
    <xf numFmtId="172" fontId="164" fillId="2" borderId="46" xfId="0" applyFont="1" applyFill="1" applyBorder="1"/>
    <xf numFmtId="37" fontId="164" fillId="2" borderId="46" xfId="0" applyNumberFormat="1" applyFont="1" applyFill="1" applyBorder="1"/>
    <xf numFmtId="37" fontId="29" fillId="0" borderId="4" xfId="0" applyNumberFormat="1" applyFont="1" applyBorder="1"/>
    <xf numFmtId="37" fontId="29" fillId="0" borderId="0" xfId="0" applyNumberFormat="1" applyFont="1"/>
    <xf numFmtId="172" fontId="184" fillId="0" borderId="0" xfId="0" applyFont="1"/>
    <xf numFmtId="174" fontId="29" fillId="0" borderId="0" xfId="0" applyNumberFormat="1" applyFont="1"/>
    <xf numFmtId="172" fontId="155" fillId="0" borderId="0" xfId="0" applyFont="1"/>
    <xf numFmtId="172" fontId="155"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29" fillId="0" borderId="51" xfId="4667" applyNumberFormat="1" applyFont="1" applyBorder="1" applyAlignment="1"/>
    <xf numFmtId="172" fontId="29" fillId="0" borderId="4" xfId="4667" applyNumberFormat="1" applyFont="1" applyBorder="1" applyAlignment="1"/>
    <xf numFmtId="0" fontId="29" fillId="0" borderId="47" xfId="4667" applyNumberFormat="1" applyFont="1" applyBorder="1" applyAlignment="1"/>
    <xf numFmtId="172" fontId="29" fillId="0" borderId="37" xfId="4667" applyNumberFormat="1" applyFont="1" applyFill="1" applyBorder="1" applyAlignment="1">
      <alignment horizontal="center"/>
    </xf>
    <xf numFmtId="172" fontId="29" fillId="0" borderId="38" xfId="4667" applyNumberFormat="1" applyFont="1" applyFill="1" applyBorder="1" applyAlignment="1">
      <alignment horizontal="center"/>
    </xf>
    <xf numFmtId="172" fontId="29" fillId="0" borderId="37" xfId="4667" applyNumberFormat="1" applyFont="1" applyBorder="1" applyAlignment="1">
      <alignment horizontal="center"/>
    </xf>
    <xf numFmtId="172" fontId="29" fillId="0" borderId="38" xfId="4667" applyNumberFormat="1" applyFont="1" applyBorder="1" applyAlignment="1">
      <alignment horizontal="center"/>
    </xf>
    <xf numFmtId="172" fontId="121" fillId="0" borderId="3" xfId="4667" applyNumberFormat="1" applyFont="1" applyBorder="1" applyAlignment="1">
      <alignment horizontal="center"/>
    </xf>
    <xf numFmtId="172" fontId="29" fillId="0" borderId="56" xfId="4667" applyNumberFormat="1" applyFont="1" applyBorder="1" applyAlignment="1">
      <alignment horizontal="center"/>
    </xf>
    <xf numFmtId="172" fontId="29" fillId="0" borderId="1" xfId="4667" applyNumberFormat="1" applyFont="1" applyBorder="1" applyAlignment="1">
      <alignment horizontal="center"/>
    </xf>
    <xf numFmtId="172" fontId="29" fillId="0" borderId="57" xfId="4667" applyNumberFormat="1" applyFont="1" applyBorder="1" applyAlignment="1">
      <alignment horizontal="center"/>
    </xf>
    <xf numFmtId="164" fontId="29" fillId="0" borderId="0" xfId="4667" applyNumberFormat="1" applyFont="1" applyBorder="1" applyAlignment="1"/>
    <xf numFmtId="193" fontId="29" fillId="0" borderId="0" xfId="4352" applyNumberFormat="1" applyFont="1" applyFill="1" applyBorder="1" applyAlignment="1"/>
    <xf numFmtId="10" fontId="29" fillId="0" borderId="38" xfId="4352" quotePrefix="1" applyNumberFormat="1" applyFont="1" applyBorder="1" applyAlignment="1">
      <alignment horizontal="left"/>
    </xf>
    <xf numFmtId="193" fontId="29" fillId="0" borderId="0" xfId="4667" applyNumberFormat="1" applyFont="1" applyBorder="1" applyAlignment="1"/>
    <xf numFmtId="173" fontId="29" fillId="0" borderId="0" xfId="1" applyNumberFormat="1" applyFont="1" applyFill="1" applyBorder="1" applyAlignment="1" applyProtection="1">
      <alignment vertical="center"/>
      <protection locked="0"/>
    </xf>
    <xf numFmtId="173" fontId="29" fillId="0" borderId="0" xfId="4667" applyNumberFormat="1" applyFont="1" applyFill="1" applyBorder="1" applyAlignment="1"/>
    <xf numFmtId="42" fontId="29" fillId="56" borderId="0" xfId="4667" quotePrefix="1" applyNumberFormat="1" applyFont="1" applyFill="1" applyAlignment="1">
      <alignment horizontal="left"/>
    </xf>
    <xf numFmtId="173" fontId="114" fillId="3" borderId="37" xfId="1" applyNumberFormat="1" applyFont="1" applyFill="1" applyBorder="1" applyAlignment="1" applyProtection="1">
      <alignment vertical="center"/>
      <protection locked="0"/>
    </xf>
    <xf numFmtId="42" fontId="29" fillId="0" borderId="0" xfId="190" applyNumberFormat="1" applyFont="1" applyBorder="1" applyAlignment="1"/>
    <xf numFmtId="42" fontId="29" fillId="0" borderId="0" xfId="190" applyNumberFormat="1" applyFont="1" applyFill="1" applyBorder="1" applyAlignment="1"/>
    <xf numFmtId="42" fontId="29" fillId="0" borderId="38" xfId="190" applyNumberFormat="1" applyFont="1" applyBorder="1" applyAlignment="1"/>
    <xf numFmtId="306" fontId="29" fillId="0" borderId="0" xfId="4667" quotePrefix="1" applyNumberFormat="1" applyFont="1" applyFill="1" applyAlignment="1">
      <alignment horizontal="left"/>
    </xf>
    <xf numFmtId="170" fontId="187" fillId="0" borderId="37" xfId="4667" applyNumberFormat="1" applyFont="1" applyBorder="1" applyAlignment="1"/>
    <xf numFmtId="42" fontId="29" fillId="0" borderId="0" xfId="1" applyNumberFormat="1" applyFont="1" applyFill="1" applyBorder="1" applyAlignment="1"/>
    <xf numFmtId="172" fontId="29" fillId="0" borderId="52" xfId="4667" applyNumberFormat="1" applyFont="1" applyBorder="1" applyAlignment="1"/>
    <xf numFmtId="42" fontId="29" fillId="0" borderId="3" xfId="4667" applyNumberFormat="1" applyFont="1" applyFill="1" applyBorder="1" applyAlignment="1"/>
    <xf numFmtId="42" fontId="29" fillId="0" borderId="53" xfId="4667" applyNumberFormat="1" applyFont="1" applyBorder="1" applyAlignment="1"/>
    <xf numFmtId="41" fontId="29" fillId="0" borderId="0" xfId="4667" applyNumberFormat="1" applyFont="1" applyFill="1" applyAlignment="1"/>
    <xf numFmtId="172" fontId="190" fillId="0" borderId="0" xfId="4667" applyNumberFormat="1" applyFont="1" applyFill="1" applyAlignment="1"/>
    <xf numFmtId="172" fontId="29" fillId="0" borderId="17" xfId="4667" applyNumberFormat="1" applyFont="1" applyFill="1" applyBorder="1" applyAlignment="1">
      <alignment horizontal="center"/>
    </xf>
    <xf numFmtId="172" fontId="29" fillId="0" borderId="17" xfId="4667" quotePrefix="1" applyNumberFormat="1" applyFont="1" applyFill="1" applyBorder="1" applyAlignment="1">
      <alignment horizontal="center"/>
    </xf>
    <xf numFmtId="10" fontId="29" fillId="0" borderId="48" xfId="4352" applyNumberFormat="1" applyFont="1" applyFill="1" applyBorder="1"/>
    <xf numFmtId="10" fontId="29" fillId="56" borderId="51" xfId="4352" applyNumberFormat="1" applyFont="1" applyFill="1" applyBorder="1"/>
    <xf numFmtId="10" fontId="29" fillId="56" borderId="54" xfId="4352" applyNumberFormat="1" applyFont="1" applyFill="1" applyBorder="1"/>
    <xf numFmtId="41" fontId="114" fillId="2" borderId="49" xfId="4352" applyNumberFormat="1" applyFont="1" applyFill="1" applyBorder="1"/>
    <xf numFmtId="174" fontId="29" fillId="0" borderId="17" xfId="190" applyNumberFormat="1" applyFont="1" applyFill="1" applyBorder="1"/>
    <xf numFmtId="172" fontId="189" fillId="0" borderId="0" xfId="4667" applyNumberFormat="1" applyFont="1" applyAlignment="1"/>
    <xf numFmtId="10" fontId="29" fillId="56" borderId="37" xfId="4352" applyNumberFormat="1" applyFont="1" applyFill="1" applyBorder="1"/>
    <xf numFmtId="10" fontId="29" fillId="56" borderId="55" xfId="4352" applyNumberFormat="1" applyFont="1" applyFill="1" applyBorder="1"/>
    <xf numFmtId="10" fontId="29" fillId="56" borderId="52" xfId="4352" applyNumberFormat="1" applyFont="1" applyFill="1" applyBorder="1"/>
    <xf numFmtId="10" fontId="29" fillId="56" borderId="58" xfId="4352" applyNumberFormat="1" applyFont="1" applyFill="1" applyBorder="1"/>
    <xf numFmtId="172" fontId="190" fillId="0" borderId="0" xfId="4667" applyNumberFormat="1" applyFont="1" applyAlignment="1"/>
    <xf numFmtId="10" fontId="29" fillId="0" borderId="17" xfId="4352" applyNumberFormat="1" applyFont="1" applyFill="1" applyBorder="1"/>
    <xf numFmtId="10" fontId="29" fillId="0" borderId="58" xfId="4352" applyNumberFormat="1" applyFont="1" applyFill="1" applyBorder="1"/>
    <xf numFmtId="41" fontId="29" fillId="0" borderId="52" xfId="4352" applyNumberFormat="1" applyFont="1" applyFill="1" applyBorder="1"/>
    <xf numFmtId="308" fontId="29" fillId="0" borderId="52" xfId="4352" applyNumberFormat="1" applyFont="1" applyFill="1" applyBorder="1"/>
    <xf numFmtId="174" fontId="29" fillId="0" borderId="49" xfId="190" applyNumberFormat="1" applyFont="1" applyFill="1" applyBorder="1"/>
    <xf numFmtId="172" fontId="29" fillId="0" borderId="17" xfId="4667" applyNumberFormat="1" applyFont="1" applyFill="1" applyBorder="1" applyAlignment="1">
      <alignment horizontal="right"/>
    </xf>
    <xf numFmtId="174" fontId="29" fillId="0" borderId="17" xfId="4667" applyNumberFormat="1" applyFont="1" applyFill="1" applyBorder="1"/>
    <xf numFmtId="174" fontId="29" fillId="0" borderId="48" xfId="4667" applyNumberFormat="1" applyFont="1" applyFill="1" applyBorder="1"/>
    <xf numFmtId="174" fontId="29" fillId="0" borderId="49" xfId="4667" applyNumberFormat="1" applyFont="1" applyFill="1" applyBorder="1"/>
    <xf numFmtId="308" fontId="29" fillId="0" borderId="49" xfId="4667" applyNumberFormat="1" applyFont="1" applyFill="1" applyBorder="1"/>
    <xf numFmtId="172" fontId="29" fillId="0" borderId="0" xfId="4667" applyNumberFormat="1" applyFont="1" applyFill="1" applyAlignment="1">
      <alignment vertical="top"/>
    </xf>
    <xf numFmtId="172" fontId="29" fillId="0" borderId="0" xfId="4667" applyNumberFormat="1" applyFont="1" applyAlignment="1">
      <alignment horizontal="left" vertical="top"/>
    </xf>
    <xf numFmtId="172" fontId="121" fillId="0" borderId="0" xfId="4667" applyNumberFormat="1" applyFont="1" applyFill="1" applyAlignment="1"/>
    <xf numFmtId="172" fontId="114" fillId="0" borderId="0" xfId="4667" applyNumberFormat="1" applyFont="1" applyFill="1" applyAlignment="1"/>
    <xf numFmtId="172" fontId="114" fillId="0" borderId="0" xfId="4667" applyNumberFormat="1" applyFont="1" applyAlignment="1"/>
    <xf numFmtId="172" fontId="192" fillId="0" borderId="0" xfId="4667" applyNumberFormat="1" applyFont="1" applyFill="1" applyAlignment="1"/>
    <xf numFmtId="44" fontId="29" fillId="0" borderId="0" xfId="1" applyFont="1" applyFill="1" applyBorder="1" applyAlignment="1"/>
    <xf numFmtId="174" fontId="164" fillId="3" borderId="0" xfId="4665" applyNumberFormat="1" applyFont="1" applyFill="1" applyAlignment="1"/>
    <xf numFmtId="174" fontId="164" fillId="0" borderId="0" xfId="4665" applyNumberFormat="1" applyFont="1" applyFill="1" applyAlignment="1"/>
    <xf numFmtId="174" fontId="29" fillId="0" borderId="0" xfId="4665" applyNumberFormat="1" applyFont="1" applyFill="1" applyAlignment="1"/>
    <xf numFmtId="173" fontId="121" fillId="0" borderId="15" xfId="4476" applyNumberFormat="1" applyFont="1" applyBorder="1" applyAlignment="1">
      <alignment wrapText="1"/>
    </xf>
    <xf numFmtId="2" fontId="29" fillId="0" borderId="0" xfId="0" applyNumberFormat="1" applyFont="1" applyProtection="1"/>
    <xf numFmtId="165" fontId="29" fillId="0" borderId="4" xfId="0" applyNumberFormat="1" applyFont="1" applyBorder="1" applyProtection="1"/>
    <xf numFmtId="0" fontId="164" fillId="3" borderId="0" xfId="4671" applyFont="1" applyFill="1" applyAlignment="1">
      <alignment horizontal="left" indent="1"/>
    </xf>
    <xf numFmtId="0" fontId="164" fillId="3" borderId="0" xfId="4671" applyFont="1" applyFill="1" applyAlignment="1">
      <alignment horizontal="left"/>
    </xf>
    <xf numFmtId="37" fontId="164" fillId="3" borderId="0" xfId="4671" applyNumberFormat="1" applyFont="1" applyFill="1" applyAlignment="1">
      <alignment horizontal="left"/>
    </xf>
    <xf numFmtId="172" fontId="29" fillId="0" borderId="0" xfId="4667" applyNumberFormat="1" applyFont="1" applyFill="1" applyAlignment="1">
      <alignment horizontal="left" vertical="top" wrapText="1"/>
    </xf>
    <xf numFmtId="43" fontId="177" fillId="0" borderId="0" xfId="190" applyFont="1" applyBorder="1" applyAlignment="1">
      <alignment horizontal="right" vertical="center" wrapText="1"/>
    </xf>
    <xf numFmtId="43" fontId="177" fillId="0" borderId="0" xfId="190" applyFont="1" applyBorder="1" applyAlignment="1">
      <alignment vertical="center" wrapText="1"/>
    </xf>
    <xf numFmtId="174" fontId="177" fillId="0" borderId="0" xfId="190" applyNumberFormat="1" applyFont="1"/>
    <xf numFmtId="174" fontId="29" fillId="0" borderId="0" xfId="190" applyNumberFormat="1" applyFont="1" applyFill="1" applyAlignment="1">
      <alignment horizontal="center"/>
    </xf>
    <xf numFmtId="249" fontId="177" fillId="0" borderId="0" xfId="190" applyNumberFormat="1" applyFont="1"/>
    <xf numFmtId="249" fontId="177" fillId="0" borderId="0" xfId="190" applyNumberFormat="1" applyFont="1" applyBorder="1" applyAlignment="1">
      <alignment horizontal="right" vertical="center" wrapText="1"/>
    </xf>
    <xf numFmtId="49" fontId="29" fillId="0" borderId="0" xfId="4" applyNumberFormat="1" applyFont="1" applyAlignment="1">
      <alignment horizontal="center"/>
    </xf>
    <xf numFmtId="172" fontId="121" fillId="0" borderId="0" xfId="4667" applyNumberFormat="1" applyFont="1" applyFill="1" applyBorder="1" applyAlignment="1">
      <alignment horizontal="center"/>
    </xf>
    <xf numFmtId="164" fontId="114" fillId="3" borderId="37" xfId="4666" applyNumberFormat="1" applyFont="1" applyFill="1" applyBorder="1" applyAlignment="1" applyProtection="1">
      <alignment vertical="center"/>
      <protection locked="0"/>
    </xf>
    <xf numFmtId="10" fontId="29" fillId="0" borderId="52" xfId="4352" quotePrefix="1" applyNumberFormat="1" applyFont="1" applyBorder="1" applyAlignment="1">
      <alignment horizontal="center"/>
    </xf>
    <xf numFmtId="10" fontId="29" fillId="0" borderId="3" xfId="4352" quotePrefix="1" applyNumberFormat="1" applyFont="1" applyBorder="1" applyAlignment="1">
      <alignment horizontal="center"/>
    </xf>
    <xf numFmtId="172" fontId="29" fillId="0" borderId="3" xfId="4667" applyNumberFormat="1" applyFont="1" applyBorder="1" applyAlignment="1">
      <alignment horizontal="center"/>
    </xf>
    <xf numFmtId="174" fontId="29" fillId="0" borderId="4" xfId="4665" applyNumberFormat="1" applyFont="1" applyBorder="1" applyAlignment="1"/>
    <xf numFmtId="172" fontId="29" fillId="0" borderId="52" xfId="4667" applyNumberFormat="1" applyFont="1" applyBorder="1" applyAlignment="1">
      <alignment horizontal="center"/>
    </xf>
    <xf numFmtId="172" fontId="29" fillId="0" borderId="53" xfId="4667" applyNumberFormat="1" applyFont="1" applyBorder="1" applyAlignment="1">
      <alignment horizontal="center"/>
    </xf>
    <xf numFmtId="172" fontId="121" fillId="0" borderId="0" xfId="4667" applyNumberFormat="1" applyFont="1" applyFill="1" applyBorder="1" applyAlignment="1">
      <alignment horizontal="center" vertical="center"/>
    </xf>
    <xf numFmtId="172" fontId="29" fillId="0" borderId="0" xfId="4667" applyNumberFormat="1" applyFont="1" applyFill="1" applyAlignment="1">
      <alignment horizontal="center" vertical="center"/>
    </xf>
    <xf numFmtId="172" fontId="29" fillId="0" borderId="0" xfId="4667" applyNumberFormat="1" applyFont="1" applyAlignment="1">
      <alignment horizontal="center" vertical="center"/>
    </xf>
    <xf numFmtId="0" fontId="29" fillId="0" borderId="0" xfId="4667" applyNumberFormat="1" applyFont="1" applyAlignment="1">
      <alignment horizontal="center" vertical="center"/>
    </xf>
    <xf numFmtId="172" fontId="121" fillId="0" borderId="3" xfId="4667" applyNumberFormat="1" applyFont="1" applyBorder="1" applyAlignment="1">
      <alignment horizontal="center" vertical="center"/>
    </xf>
    <xf numFmtId="172" fontId="29" fillId="0" borderId="0" xfId="4667" applyNumberFormat="1" applyFont="1" applyFill="1" applyAlignment="1">
      <alignment vertical="top" wrapText="1"/>
    </xf>
    <xf numFmtId="249" fontId="177" fillId="0" borderId="0" xfId="4665" applyNumberFormat="1" applyFont="1"/>
    <xf numFmtId="172" fontId="29" fillId="0" borderId="47" xfId="4667" applyNumberFormat="1" applyFont="1" applyFill="1" applyBorder="1" applyAlignment="1">
      <alignment horizontal="center"/>
    </xf>
    <xf numFmtId="311" fontId="29" fillId="0" borderId="0" xfId="4667" applyNumberFormat="1" applyFont="1" applyAlignment="1"/>
    <xf numFmtId="172" fontId="29" fillId="3" borderId="37" xfId="4667" applyNumberFormat="1" applyFont="1" applyFill="1" applyBorder="1" applyAlignment="1">
      <alignment horizontal="right" wrapText="1"/>
    </xf>
    <xf numFmtId="44" fontId="29" fillId="0" borderId="0" xfId="1" applyFont="1" applyAlignment="1" applyProtection="1">
      <protection locked="0"/>
    </xf>
    <xf numFmtId="312" fontId="29" fillId="0" borderId="0" xfId="1" applyNumberFormat="1" applyFont="1" applyAlignment="1" applyProtection="1">
      <protection locked="0"/>
    </xf>
    <xf numFmtId="313" fontId="29" fillId="0" borderId="0" xfId="0" applyNumberFormat="1" applyFont="1" applyProtection="1">
      <protection locked="0"/>
    </xf>
    <xf numFmtId="172" fontId="29" fillId="0" borderId="51" xfId="4667" applyNumberFormat="1" applyFont="1" applyFill="1" applyBorder="1" applyAlignment="1">
      <alignment horizontal="center"/>
    </xf>
    <xf numFmtId="172" fontId="29" fillId="0" borderId="4" xfId="4667" applyNumberFormat="1" applyFont="1" applyFill="1" applyBorder="1" applyAlignment="1">
      <alignment horizontal="center"/>
    </xf>
    <xf numFmtId="305" fontId="29" fillId="0" borderId="0" xfId="4665" applyNumberFormat="1" applyFont="1"/>
    <xf numFmtId="170" fontId="29" fillId="0" borderId="0" xfId="0" applyNumberFormat="1" applyFont="1"/>
    <xf numFmtId="174" fontId="177" fillId="0" borderId="0" xfId="4665" applyNumberFormat="1" applyFont="1" applyBorder="1" applyAlignment="1">
      <alignment horizontal="center" vertical="center" wrapText="1"/>
    </xf>
    <xf numFmtId="174" fontId="177" fillId="0" borderId="0" xfId="190" applyNumberFormat="1" applyFont="1" applyBorder="1" applyAlignment="1">
      <alignment vertical="center" wrapText="1"/>
    </xf>
    <xf numFmtId="41" fontId="29" fillId="77" borderId="4" xfId="1" applyNumberFormat="1" applyFont="1" applyFill="1" applyBorder="1" applyAlignment="1" applyProtection="1">
      <protection locked="0"/>
    </xf>
    <xf numFmtId="41" fontId="29" fillId="0" borderId="0" xfId="1" applyNumberFormat="1" applyFont="1" applyFill="1" applyAlignment="1" applyProtection="1">
      <protection locked="0"/>
    </xf>
    <xf numFmtId="41" fontId="29" fillId="0" borderId="4" xfId="1" applyNumberFormat="1" applyFont="1" applyFill="1" applyBorder="1" applyAlignment="1" applyProtection="1">
      <protection locked="0"/>
    </xf>
    <xf numFmtId="310" fontId="29" fillId="0" borderId="0" xfId="1" applyNumberFormat="1" applyFont="1" applyFill="1" applyAlignment="1" applyProtection="1">
      <protection locked="0"/>
    </xf>
    <xf numFmtId="172" fontId="29" fillId="0" borderId="47" xfId="4667" applyNumberFormat="1" applyFont="1" applyFill="1" applyBorder="1" applyAlignment="1"/>
    <xf numFmtId="174" fontId="29" fillId="0" borderId="4" xfId="4665" applyNumberFormat="1" applyFont="1" applyFill="1" applyBorder="1" applyAlignment="1"/>
    <xf numFmtId="41" fontId="164" fillId="3" borderId="0" xfId="1" applyNumberFormat="1" applyFont="1" applyFill="1" applyBorder="1" applyAlignment="1" applyProtection="1">
      <protection locked="0"/>
    </xf>
    <xf numFmtId="3" fontId="29" fillId="0" borderId="0" xfId="0" quotePrefix="1" applyNumberFormat="1" applyFont="1" applyProtection="1"/>
    <xf numFmtId="0" fontId="29" fillId="0" borderId="0" xfId="4" quotePrefix="1" applyFont="1"/>
    <xf numFmtId="172" fontId="180" fillId="0" borderId="0" xfId="0" applyFont="1"/>
    <xf numFmtId="0" fontId="29" fillId="0" borderId="0" xfId="0" applyNumberFormat="1" applyFont="1" applyAlignment="1" applyProtection="1">
      <alignment horizontal="center" vertical="top" wrapText="1"/>
      <protection locked="0"/>
    </xf>
    <xf numFmtId="172" fontId="29" fillId="0" borderId="47" xfId="0" applyFont="1" applyBorder="1"/>
    <xf numFmtId="173" fontId="29" fillId="0" borderId="17" xfId="0" applyNumberFormat="1" applyFont="1" applyBorder="1"/>
    <xf numFmtId="174" fontId="29" fillId="0" borderId="0" xfId="190" applyNumberFormat="1" applyFont="1" applyBorder="1"/>
    <xf numFmtId="174" fontId="29" fillId="0" borderId="0" xfId="190" applyNumberFormat="1" applyFont="1" applyBorder="1" applyAlignment="1">
      <alignment horizontal="right"/>
    </xf>
    <xf numFmtId="271" fontId="29" fillId="0" borderId="0" xfId="190" applyNumberFormat="1" applyFont="1" applyBorder="1"/>
    <xf numFmtId="174" fontId="29" fillId="0" borderId="15" xfId="190" applyNumberFormat="1" applyFont="1" applyBorder="1"/>
    <xf numFmtId="41" fontId="29" fillId="0" borderId="0" xfId="4598" applyNumberFormat="1" applyFont="1"/>
    <xf numFmtId="0" fontId="121" fillId="0" borderId="49" xfId="4598" applyFont="1" applyBorder="1"/>
    <xf numFmtId="0" fontId="121" fillId="0" borderId="17" xfId="4598" applyFont="1" applyBorder="1"/>
    <xf numFmtId="0" fontId="29" fillId="0" borderId="0" xfId="4598" applyFont="1" applyAlignment="1">
      <alignment horizontal="center" wrapText="1"/>
    </xf>
    <xf numFmtId="49" fontId="121" fillId="0" borderId="0" xfId="4" applyNumberFormat="1" applyFont="1" applyAlignment="1">
      <alignment horizontal="center"/>
    </xf>
    <xf numFmtId="0" fontId="121" fillId="0" borderId="0" xfId="4690" applyFont="1"/>
    <xf numFmtId="0" fontId="177" fillId="0" borderId="0" xfId="4690" applyFont="1"/>
    <xf numFmtId="0" fontId="177" fillId="0" borderId="0" xfId="4690" applyFont="1" applyAlignment="1">
      <alignment horizontal="right"/>
    </xf>
    <xf numFmtId="0" fontId="177"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7" fillId="0" borderId="58" xfId="4690" applyFont="1" applyBorder="1" applyAlignment="1">
      <alignment horizontal="center" vertical="center" wrapText="1"/>
    </xf>
    <xf numFmtId="0" fontId="177" fillId="0" borderId="0" xfId="4690" applyFont="1" applyAlignment="1">
      <alignment horizontal="center" vertical="center" wrapText="1"/>
    </xf>
    <xf numFmtId="0" fontId="177" fillId="0" borderId="0" xfId="4690" applyFont="1" applyAlignment="1">
      <alignment horizontal="left" vertical="center"/>
    </xf>
    <xf numFmtId="15" fontId="177" fillId="0" borderId="0" xfId="4690" applyNumberFormat="1" applyFont="1" applyAlignment="1">
      <alignment vertical="center" wrapText="1"/>
    </xf>
    <xf numFmtId="174" fontId="177" fillId="0" borderId="0" xfId="4691" applyNumberFormat="1" applyFont="1" applyBorder="1" applyAlignment="1">
      <alignment horizontal="right" vertical="center" wrapText="1"/>
    </xf>
    <xf numFmtId="174" fontId="177" fillId="0" borderId="0" xfId="4691" applyNumberFormat="1" applyFont="1" applyBorder="1" applyAlignment="1">
      <alignment vertical="center" wrapText="1"/>
    </xf>
    <xf numFmtId="174" fontId="177" fillId="3" borderId="0" xfId="4692" applyNumberFormat="1" applyFont="1" applyFill="1" applyBorder="1" applyAlignment="1">
      <alignment horizontal="right" vertical="center" wrapText="1"/>
    </xf>
    <xf numFmtId="174" fontId="177" fillId="0" borderId="0" xfId="4691" applyNumberFormat="1" applyFont="1" applyFill="1" applyBorder="1" applyAlignment="1">
      <alignment horizontal="center" vertical="center" wrapText="1"/>
    </xf>
    <xf numFmtId="174" fontId="177" fillId="0" borderId="0" xfId="4692" applyNumberFormat="1" applyFont="1" applyBorder="1" applyAlignment="1">
      <alignment vertical="center" wrapText="1"/>
    </xf>
    <xf numFmtId="174" fontId="177" fillId="3" borderId="0" xfId="4692" applyNumberFormat="1" applyFont="1" applyFill="1" applyBorder="1" applyAlignment="1">
      <alignment vertical="center" wrapText="1"/>
    </xf>
    <xf numFmtId="0" fontId="177" fillId="0" borderId="4" xfId="4690" applyFont="1" applyBorder="1" applyAlignment="1">
      <alignment vertical="center" wrapText="1"/>
    </xf>
    <xf numFmtId="0" fontId="177" fillId="0" borderId="4" xfId="4690" applyFont="1" applyBorder="1" applyAlignment="1">
      <alignment horizontal="right" vertical="center" wrapText="1"/>
    </xf>
    <xf numFmtId="174" fontId="177" fillId="0" borderId="4" xfId="4691" applyNumberFormat="1" applyFont="1" applyBorder="1" applyAlignment="1">
      <alignment vertical="center" wrapText="1"/>
    </xf>
    <xf numFmtId="0" fontId="177" fillId="0" borderId="0" xfId="4690" applyFont="1" applyAlignment="1">
      <alignment vertical="center" wrapText="1"/>
    </xf>
    <xf numFmtId="0" fontId="177" fillId="0" borderId="0" xfId="4690" applyFont="1" applyAlignment="1">
      <alignment horizontal="right" vertical="center" wrapText="1"/>
    </xf>
    <xf numFmtId="0" fontId="177" fillId="0" borderId="0" xfId="4690" applyFont="1" applyAlignment="1">
      <alignment horizontal="justify" vertical="center" wrapText="1"/>
    </xf>
    <xf numFmtId="174" fontId="177" fillId="0" borderId="0" xfId="4691" applyNumberFormat="1" applyFont="1" applyFill="1" applyBorder="1" applyAlignment="1">
      <alignment vertical="center" wrapText="1"/>
    </xf>
    <xf numFmtId="174" fontId="177"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7" fillId="0" borderId="0" xfId="4693" applyFont="1"/>
    <xf numFmtId="174" fontId="177" fillId="0" borderId="0" xfId="4693" applyNumberFormat="1" applyFont="1"/>
    <xf numFmtId="174" fontId="177" fillId="0" borderId="0" xfId="4692" applyNumberFormat="1" applyFont="1" applyBorder="1" applyAlignment="1">
      <alignment horizontal="right" vertical="center" wrapText="1"/>
    </xf>
    <xf numFmtId="174" fontId="177" fillId="0" borderId="0" xfId="4690" applyNumberFormat="1" applyFont="1" applyAlignment="1">
      <alignment horizontal="center"/>
    </xf>
    <xf numFmtId="43" fontId="177" fillId="0" borderId="0" xfId="4690" applyNumberFormat="1" applyFont="1"/>
    <xf numFmtId="174" fontId="177" fillId="0" borderId="0" xfId="4692" applyNumberFormat="1" applyFont="1" applyFill="1" applyBorder="1" applyAlignment="1">
      <alignment vertical="center" wrapText="1"/>
    </xf>
    <xf numFmtId="174" fontId="177" fillId="0" borderId="0" xfId="4690" applyNumberFormat="1" applyFont="1"/>
    <xf numFmtId="0" fontId="193" fillId="0" borderId="0" xfId="4690" applyFont="1"/>
    <xf numFmtId="174" fontId="177" fillId="0" borderId="0" xfId="4692" applyNumberFormat="1" applyFont="1" applyFill="1" applyBorder="1" applyAlignment="1">
      <alignment horizontal="right" vertical="center" wrapText="1"/>
    </xf>
    <xf numFmtId="44" fontId="29" fillId="0" borderId="3" xfId="4667" applyNumberFormat="1" applyFont="1" applyBorder="1" applyAlignment="1"/>
    <xf numFmtId="9" fontId="177" fillId="0" borderId="0" xfId="4690" applyNumberFormat="1" applyFont="1"/>
    <xf numFmtId="174" fontId="177" fillId="0" borderId="0" xfId="4665" applyNumberFormat="1" applyFont="1"/>
    <xf numFmtId="174" fontId="177" fillId="0" borderId="0" xfId="4690" applyNumberFormat="1" applyFont="1" applyAlignment="1">
      <alignment horizontal="justify" vertical="center" wrapText="1"/>
    </xf>
    <xf numFmtId="165" fontId="29" fillId="3" borderId="0" xfId="0" applyNumberFormat="1" applyFont="1" applyFill="1" applyProtection="1"/>
    <xf numFmtId="164" fontId="177" fillId="0" borderId="0" xfId="4666" applyNumberFormat="1" applyFont="1" applyFill="1"/>
    <xf numFmtId="174" fontId="194" fillId="0" borderId="4" xfId="4690" applyNumberFormat="1" applyFont="1" applyBorder="1"/>
    <xf numFmtId="0" fontId="29" fillId="0" borderId="0" xfId="4" applyFont="1" applyAlignment="1">
      <alignment horizontal="left"/>
    </xf>
    <xf numFmtId="9" fontId="164" fillId="3" borderId="0" xfId="4666" applyFont="1" applyFill="1" applyAlignment="1"/>
    <xf numFmtId="174" fontId="29" fillId="0" borderId="0" xfId="190" applyNumberFormat="1" applyFont="1" applyFill="1" applyBorder="1" applyAlignment="1">
      <alignment horizontal="right"/>
    </xf>
    <xf numFmtId="271" fontId="29" fillId="0" borderId="0" xfId="190" applyNumberFormat="1" applyFont="1" applyFill="1" applyBorder="1"/>
    <xf numFmtId="172" fontId="29" fillId="0" borderId="0" xfId="0" applyFont="1" applyAlignment="1">
      <alignment horizontal="left"/>
    </xf>
    <xf numFmtId="174" fontId="121" fillId="0" borderId="0" xfId="190" applyNumberFormat="1" applyFont="1" applyFill="1" applyBorder="1" applyAlignment="1">
      <alignment horizontal="right"/>
    </xf>
    <xf numFmtId="44" fontId="121" fillId="0" borderId="0" xfId="0" applyNumberFormat="1" applyFont="1"/>
    <xf numFmtId="174" fontId="121" fillId="0" borderId="15" xfId="190" applyNumberFormat="1" applyFont="1" applyFill="1" applyBorder="1"/>
    <xf numFmtId="0" fontId="155" fillId="0" borderId="0" xfId="4476" applyFont="1" applyAlignment="1">
      <alignment horizontal="center"/>
    </xf>
    <xf numFmtId="14" fontId="164" fillId="80" borderId="0" xfId="0" applyNumberFormat="1" applyFont="1" applyFill="1" applyProtection="1">
      <protection locked="0"/>
    </xf>
    <xf numFmtId="173" fontId="164" fillId="80" borderId="0" xfId="1" applyNumberFormat="1" applyFont="1" applyFill="1" applyAlignment="1" applyProtection="1">
      <protection locked="0"/>
    </xf>
    <xf numFmtId="0" fontId="164" fillId="80" borderId="0" xfId="4" applyFont="1" applyFill="1"/>
    <xf numFmtId="173" fontId="29" fillId="0" borderId="4" xfId="1" applyNumberFormat="1" applyFont="1" applyBorder="1"/>
    <xf numFmtId="173" fontId="29" fillId="0" borderId="17" xfId="1" applyNumberFormat="1" applyFont="1" applyBorder="1"/>
    <xf numFmtId="14" fontId="164" fillId="80" borderId="0" xfId="0" applyNumberFormat="1" applyFont="1" applyFill="1" applyAlignment="1" applyProtection="1">
      <alignment horizontal="center"/>
      <protection locked="0"/>
    </xf>
    <xf numFmtId="174" fontId="164" fillId="80" borderId="0" xfId="4665" applyNumberFormat="1" applyFont="1" applyFill="1" applyAlignment="1" applyProtection="1">
      <protection locked="0"/>
    </xf>
    <xf numFmtId="173" fontId="29" fillId="0" borderId="47" xfId="1" applyNumberFormat="1" applyFont="1" applyBorder="1"/>
    <xf numFmtId="173" fontId="29" fillId="0" borderId="0" xfId="1" applyNumberFormat="1" applyFont="1" applyFill="1" applyAlignment="1" applyProtection="1">
      <protection locked="0"/>
    </xf>
    <xf numFmtId="174" fontId="29" fillId="0" borderId="0" xfId="4665" applyNumberFormat="1" applyFont="1" applyFill="1" applyAlignment="1" applyProtection="1">
      <protection locked="0"/>
    </xf>
    <xf numFmtId="173" fontId="29" fillId="0" borderId="17" xfId="1" applyNumberFormat="1" applyFont="1" applyFill="1" applyBorder="1"/>
    <xf numFmtId="271" fontId="29" fillId="0" borderId="0" xfId="4665" applyNumberFormat="1" applyFont="1"/>
    <xf numFmtId="170" fontId="29" fillId="0" borderId="4" xfId="0" applyNumberFormat="1" applyFont="1" applyBorder="1"/>
    <xf numFmtId="174" fontId="29" fillId="0" borderId="17" xfId="190" applyNumberFormat="1" applyFont="1" applyFill="1" applyBorder="1" applyAlignment="1"/>
    <xf numFmtId="170" fontId="29" fillId="0" borderId="17" xfId="0" applyNumberFormat="1" applyFont="1" applyBorder="1"/>
    <xf numFmtId="14" fontId="29" fillId="0" borderId="0" xfId="0" applyNumberFormat="1" applyFont="1" applyAlignment="1" applyProtection="1">
      <alignment horizontal="center"/>
      <protection locked="0"/>
    </xf>
    <xf numFmtId="271" fontId="29" fillId="0" borderId="0" xfId="4665" applyNumberFormat="1" applyFont="1" applyFill="1" applyAlignment="1" applyProtection="1">
      <protection locked="0"/>
    </xf>
    <xf numFmtId="305" fontId="29" fillId="0" borderId="0" xfId="4665" applyNumberFormat="1" applyFont="1" applyFill="1" applyAlignment="1" applyProtection="1">
      <protection locked="0"/>
    </xf>
    <xf numFmtId="174" fontId="29" fillId="0" borderId="14" xfId="190" applyNumberFormat="1" applyFont="1" applyFill="1" applyBorder="1"/>
    <xf numFmtId="0" fontId="29"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4" fillId="3" borderId="0" xfId="190" applyNumberFormat="1" applyFont="1" applyFill="1" applyAlignment="1"/>
    <xf numFmtId="0" fontId="177" fillId="81" borderId="0" xfId="4690" applyFont="1" applyFill="1"/>
    <xf numFmtId="172" fontId="121" fillId="0" borderId="17" xfId="0" applyFont="1" applyBorder="1" applyAlignment="1">
      <alignment horizontal="center"/>
    </xf>
    <xf numFmtId="174" fontId="29" fillId="74" borderId="1" xfId="4665" applyNumberFormat="1" applyFont="1" applyFill="1" applyBorder="1" applyAlignment="1"/>
    <xf numFmtId="173" fontId="29" fillId="0" borderId="0" xfId="1" applyNumberFormat="1" applyFont="1" applyBorder="1"/>
    <xf numFmtId="10" fontId="29" fillId="0" borderId="0" xfId="3" applyNumberFormat="1" applyFont="1" applyFill="1" applyBorder="1" applyAlignment="1">
      <alignment horizontal="center"/>
    </xf>
    <xf numFmtId="3" fontId="29" fillId="3" borderId="0" xfId="0" applyNumberFormat="1" applyFont="1" applyFill="1" applyProtection="1"/>
    <xf numFmtId="10" fontId="29" fillId="0" borderId="53" xfId="4352" quotePrefix="1" applyNumberFormat="1" applyFont="1" applyBorder="1" applyAlignment="1">
      <alignment horizontal="center"/>
    </xf>
    <xf numFmtId="172" fontId="29" fillId="0" borderId="38" xfId="4667" applyNumberFormat="1" applyFont="1" applyFill="1" applyBorder="1" applyAlignment="1"/>
    <xf numFmtId="41" fontId="164" fillId="3" borderId="38" xfId="1" applyNumberFormat="1" applyFont="1" applyFill="1" applyBorder="1" applyAlignment="1" applyProtection="1">
      <protection locked="0"/>
    </xf>
    <xf numFmtId="42" fontId="29" fillId="0" borderId="37" xfId="190" applyNumberFormat="1" applyFont="1" applyBorder="1" applyAlignment="1"/>
    <xf numFmtId="172" fontId="29" fillId="79" borderId="38" xfId="4667" applyNumberFormat="1" applyFont="1" applyFill="1" applyBorder="1" applyAlignment="1"/>
    <xf numFmtId="172" fontId="29" fillId="79" borderId="0" xfId="4667" applyNumberFormat="1" applyFont="1" applyFill="1" applyBorder="1" applyAlignment="1"/>
    <xf numFmtId="42" fontId="29" fillId="0" borderId="37" xfId="4667" applyNumberFormat="1" applyFont="1" applyBorder="1" applyAlignment="1"/>
    <xf numFmtId="174" fontId="29" fillId="0" borderId="47" xfId="4665" applyNumberFormat="1" applyFont="1" applyFill="1" applyBorder="1" applyAlignment="1"/>
    <xf numFmtId="42" fontId="29" fillId="0" borderId="52" xfId="4667" applyNumberFormat="1" applyFont="1" applyBorder="1" applyAlignment="1"/>
    <xf numFmtId="42" fontId="29" fillId="0" borderId="3" xfId="4667" applyNumberFormat="1" applyFont="1" applyBorder="1" applyAlignment="1"/>
    <xf numFmtId="173" fontId="29" fillId="0" borderId="3" xfId="1" applyNumberFormat="1" applyFont="1" applyFill="1" applyBorder="1" applyAlignment="1"/>
    <xf numFmtId="172" fontId="29" fillId="0" borderId="3" xfId="4667" applyNumberFormat="1" applyFont="1" applyBorder="1" applyAlignment="1"/>
    <xf numFmtId="173" fontId="29" fillId="0" borderId="53" xfId="1" applyNumberFormat="1" applyFont="1" applyFill="1" applyBorder="1" applyAlignment="1"/>
    <xf numFmtId="170" fontId="29" fillId="0" borderId="37" xfId="4667" applyNumberFormat="1" applyFont="1" applyBorder="1" applyAlignment="1"/>
    <xf numFmtId="174" fontId="29" fillId="0" borderId="0" xfId="4665" applyNumberFormat="1" applyFont="1" applyBorder="1" applyAlignment="1"/>
    <xf numFmtId="237" fontId="29" fillId="0" borderId="0" xfId="4666" applyNumberFormat="1" applyFont="1" applyBorder="1" applyAlignment="1"/>
    <xf numFmtId="174" fontId="29" fillId="0" borderId="38" xfId="4665" applyNumberFormat="1" applyFont="1" applyBorder="1" applyAlignment="1"/>
    <xf numFmtId="172" fontId="29" fillId="79" borderId="37" xfId="4667" applyNumberFormat="1" applyFont="1" applyFill="1" applyBorder="1" applyAlignment="1"/>
    <xf numFmtId="174" fontId="29" fillId="0" borderId="51" xfId="4665" applyNumberFormat="1" applyFont="1" applyBorder="1" applyAlignment="1"/>
    <xf numFmtId="174" fontId="29" fillId="0" borderId="47" xfId="4665" applyNumberFormat="1" applyFont="1" applyBorder="1" applyAlignment="1"/>
    <xf numFmtId="172" fontId="29" fillId="0" borderId="53" xfId="4667" applyNumberFormat="1" applyFont="1" applyBorder="1" applyAlignment="1"/>
    <xf numFmtId="174" fontId="29"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305" fontId="164" fillId="0" borderId="0" xfId="4665" applyNumberFormat="1" applyFont="1" applyFill="1" applyAlignment="1" applyProtection="1">
      <protection locked="0"/>
    </xf>
    <xf numFmtId="164" fontId="29" fillId="0" borderId="0" xfId="4597" applyNumberFormat="1" applyFont="1" applyAlignment="1">
      <alignment horizontal="left"/>
    </xf>
    <xf numFmtId="0" fontId="29" fillId="0" borderId="4" xfId="0" applyNumberFormat="1" applyFont="1" applyBorder="1"/>
    <xf numFmtId="9" fontId="29" fillId="0" borderId="0" xfId="4475" applyFont="1" applyFill="1"/>
    <xf numFmtId="0" fontId="121" fillId="0" borderId="0" xfId="0" applyNumberFormat="1" applyFont="1"/>
    <xf numFmtId="172" fontId="121" fillId="0" borderId="1" xfId="0" applyFont="1" applyBorder="1" applyAlignment="1">
      <alignment horizontal="center"/>
    </xf>
    <xf numFmtId="172" fontId="121" fillId="0" borderId="0" xfId="0" applyFont="1" applyAlignment="1">
      <alignment horizontal="left"/>
    </xf>
    <xf numFmtId="44" fontId="29" fillId="0" borderId="3" xfId="4" applyNumberFormat="1" applyFont="1" applyBorder="1" applyAlignment="1">
      <alignment horizontal="center"/>
    </xf>
    <xf numFmtId="43" fontId="29" fillId="0" borderId="0" xfId="4665" applyFont="1" applyFill="1"/>
    <xf numFmtId="43" fontId="29" fillId="0" borderId="0" xfId="4665" applyFont="1" applyFill="1" applyAlignment="1">
      <alignment horizontal="right"/>
    </xf>
    <xf numFmtId="10" fontId="29" fillId="0" borderId="4" xfId="4665" applyNumberFormat="1" applyFont="1" applyFill="1" applyBorder="1" applyAlignment="1">
      <alignment horizontal="center"/>
    </xf>
    <xf numFmtId="10" fontId="29"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305" fontId="177" fillId="0" borderId="0" xfId="4665" applyNumberFormat="1" applyFont="1" applyFill="1" applyBorder="1" applyAlignment="1">
      <alignment horizontal="center" vertical="center" wrapText="1"/>
    </xf>
    <xf numFmtId="174" fontId="177" fillId="0" borderId="0" xfId="4665" applyNumberFormat="1" applyFont="1" applyFill="1" applyBorder="1" applyAlignment="1">
      <alignment horizontal="center" vertical="center" wrapText="1"/>
    </xf>
    <xf numFmtId="41" fontId="29" fillId="3" borderId="0" xfId="4598" applyNumberFormat="1" applyFont="1" applyFill="1"/>
    <xf numFmtId="174" fontId="29" fillId="0" borderId="3" xfId="190" applyNumberFormat="1" applyFont="1" applyFill="1" applyBorder="1" applyAlignment="1">
      <alignment horizontal="center"/>
    </xf>
    <xf numFmtId="174" fontId="29" fillId="3" borderId="0" xfId="4665" applyNumberFormat="1" applyFont="1" applyFill="1" applyAlignment="1"/>
    <xf numFmtId="3" fontId="164" fillId="3" borderId="0" xfId="0" applyNumberFormat="1" applyFont="1" applyFill="1" applyProtection="1">
      <protection locked="0"/>
    </xf>
    <xf numFmtId="311" fontId="29" fillId="0" borderId="0" xfId="4667" applyNumberFormat="1" applyFont="1" applyFill="1" applyAlignment="1">
      <alignment horizontal="center" vertical="center"/>
    </xf>
    <xf numFmtId="311" fontId="29" fillId="0" borderId="0" xfId="4667" applyNumberFormat="1" applyFont="1" applyFill="1" applyBorder="1" applyAlignment="1">
      <alignment horizontal="center"/>
    </xf>
    <xf numFmtId="311" fontId="29" fillId="0" borderId="37" xfId="4667" applyNumberFormat="1" applyFont="1" applyFill="1" applyBorder="1" applyAlignment="1">
      <alignment horizontal="center"/>
    </xf>
    <xf numFmtId="311" fontId="29" fillId="0" borderId="38" xfId="4667" applyNumberFormat="1" applyFont="1" applyFill="1" applyBorder="1" applyAlignment="1">
      <alignment horizontal="center"/>
    </xf>
    <xf numFmtId="0" fontId="29" fillId="0" borderId="0" xfId="4667" applyNumberFormat="1" applyFont="1" applyFill="1" applyBorder="1" applyAlignment="1">
      <alignment horizontal="center"/>
    </xf>
    <xf numFmtId="0" fontId="29" fillId="0" borderId="38" xfId="4667" applyNumberFormat="1" applyFont="1" applyFill="1" applyBorder="1" applyAlignment="1">
      <alignment horizontal="center"/>
    </xf>
    <xf numFmtId="0" fontId="29" fillId="0" borderId="0" xfId="4667" applyNumberFormat="1" applyFont="1" applyFill="1" applyAlignment="1"/>
    <xf numFmtId="0" fontId="177" fillId="3" borderId="0" xfId="4680" applyFont="1" applyFill="1" applyAlignment="1">
      <alignment horizontal="center"/>
    </xf>
    <xf numFmtId="174" fontId="177" fillId="3" borderId="0" xfId="4684" applyNumberFormat="1" applyFont="1" applyFill="1" applyAlignment="1">
      <alignment horizontal="right" vertical="center" wrapText="1"/>
    </xf>
    <xf numFmtId="173" fontId="164" fillId="3" borderId="0" xfId="1" applyNumberFormat="1" applyFont="1" applyFill="1"/>
    <xf numFmtId="192" fontId="186" fillId="3" borderId="0" xfId="0" applyNumberFormat="1" applyFont="1" applyFill="1" applyAlignment="1">
      <alignment horizontal="center"/>
    </xf>
    <xf numFmtId="0" fontId="29" fillId="0" borderId="4" xfId="4671" applyFont="1" applyBorder="1" applyAlignment="1">
      <alignment horizontal="left"/>
    </xf>
    <xf numFmtId="164" fontId="196" fillId="0" borderId="0" xfId="4597" applyNumberFormat="1" applyFont="1" applyAlignment="1">
      <alignment horizontal="left"/>
    </xf>
    <xf numFmtId="43" fontId="164" fillId="2" borderId="0" xfId="4665" applyFont="1" applyFill="1" applyAlignment="1" applyProtection="1">
      <protection locked="0"/>
    </xf>
    <xf numFmtId="43" fontId="29" fillId="2" borderId="0" xfId="4665" applyFont="1" applyFill="1"/>
    <xf numFmtId="0" fontId="164" fillId="0" borderId="0" xfId="4" applyFont="1"/>
    <xf numFmtId="172" fontId="189" fillId="0" borderId="0" xfId="0" applyFont="1" applyAlignment="1">
      <alignment horizontal="left"/>
    </xf>
    <xf numFmtId="172" fontId="190" fillId="0" borderId="0" xfId="0" applyFont="1"/>
    <xf numFmtId="43" fontId="29" fillId="0" borderId="0" xfId="190" applyFont="1" applyFill="1"/>
    <xf numFmtId="3" fontId="29" fillId="0" borderId="0" xfId="4" applyNumberFormat="1" applyFont="1"/>
    <xf numFmtId="174" fontId="29" fillId="0" borderId="0" xfId="4" applyNumberFormat="1" applyFont="1"/>
    <xf numFmtId="14" fontId="29" fillId="0" borderId="0" xfId="0" applyNumberFormat="1" applyFont="1"/>
    <xf numFmtId="14" fontId="71" fillId="0" borderId="0" xfId="0" applyNumberFormat="1" applyFont="1"/>
    <xf numFmtId="14" fontId="71" fillId="0" borderId="0" xfId="0" applyNumberFormat="1" applyFont="1" applyAlignment="1">
      <alignment wrapText="1"/>
    </xf>
    <xf numFmtId="43" fontId="29" fillId="0" borderId="0" xfId="4598" applyNumberFormat="1" applyFont="1"/>
    <xf numFmtId="0" fontId="176" fillId="0" borderId="0" xfId="4476" applyFont="1"/>
    <xf numFmtId="193" fontId="178" fillId="0" borderId="0" xfId="4476" applyNumberFormat="1" applyFont="1" applyAlignment="1">
      <alignment wrapText="1"/>
    </xf>
    <xf numFmtId="172" fontId="8" fillId="0" borderId="0" xfId="0" applyFont="1" applyAlignment="1" applyProtection="1">
      <alignment wrapText="1"/>
    </xf>
    <xf numFmtId="172" fontId="8" fillId="0" borderId="0" xfId="0" applyFont="1" applyAlignment="1">
      <alignment vertical="top" wrapText="1"/>
    </xf>
    <xf numFmtId="172" fontId="8" fillId="0" borderId="0" xfId="0" applyFont="1" applyAlignment="1">
      <alignment horizontal="left" vertical="top" wrapText="1"/>
    </xf>
    <xf numFmtId="172" fontId="172" fillId="0" borderId="0" xfId="0" applyFont="1" applyAlignment="1">
      <alignment horizontal="center"/>
    </xf>
    <xf numFmtId="172" fontId="29" fillId="0" borderId="0" xfId="0" applyFont="1" applyAlignment="1" applyProtection="1">
      <alignment horizontal="center"/>
      <protection locked="0"/>
    </xf>
    <xf numFmtId="172" fontId="29" fillId="0" borderId="0" xfId="0" applyFont="1" applyAlignment="1">
      <alignment horizontal="left" vertical="top" wrapText="1"/>
    </xf>
    <xf numFmtId="172" fontId="29" fillId="0" borderId="0" xfId="0" applyFont="1" applyAlignment="1">
      <alignment horizontal="left" wrapText="1"/>
    </xf>
    <xf numFmtId="0" fontId="29" fillId="0" borderId="0" xfId="0" applyNumberFormat="1" applyFont="1" applyAlignment="1" applyProtection="1">
      <alignment horizontal="right"/>
      <protection locked="0"/>
    </xf>
    <xf numFmtId="0" fontId="121" fillId="0" borderId="0" xfId="0" applyNumberFormat="1" applyFont="1" applyAlignment="1" applyProtection="1">
      <alignment horizontal="right"/>
      <protection locked="0"/>
    </xf>
    <xf numFmtId="0" fontId="29" fillId="0" borderId="0" xfId="0" applyNumberFormat="1" applyFont="1" applyAlignment="1" applyProtection="1">
      <alignment vertical="top" wrapText="1"/>
      <protection locked="0"/>
    </xf>
    <xf numFmtId="0" fontId="29" fillId="0" borderId="0" xfId="4597" applyNumberFormat="1" applyFont="1" applyAlignment="1" applyProtection="1">
      <alignment horizontal="left" vertical="top" wrapText="1"/>
      <protection locked="0"/>
    </xf>
    <xf numFmtId="0" fontId="29" fillId="0" borderId="0" xfId="0" applyNumberFormat="1" applyFont="1" applyAlignment="1" applyProtection="1">
      <alignment horizontal="left" vertical="top" wrapText="1"/>
      <protection locked="0"/>
    </xf>
    <xf numFmtId="0" fontId="29" fillId="0" borderId="0" xfId="4664" applyNumberFormat="1" applyFont="1" applyAlignment="1">
      <alignment horizontal="left" vertical="top" wrapText="1"/>
    </xf>
    <xf numFmtId="172" fontId="29" fillId="0" borderId="0" xfId="0" applyFont="1" applyAlignment="1">
      <alignment horizontal="left"/>
    </xf>
    <xf numFmtId="0" fontId="29" fillId="0" borderId="0" xfId="0" applyNumberFormat="1" applyFont="1" applyAlignment="1" applyProtection="1">
      <alignment horizontal="right"/>
    </xf>
    <xf numFmtId="0" fontId="29" fillId="0" borderId="0" xfId="0" applyNumberFormat="1" applyFont="1" applyProtection="1">
      <protection locked="0"/>
    </xf>
    <xf numFmtId="3" fontId="29" fillId="0" borderId="0" xfId="0" applyNumberFormat="1" applyFont="1" applyAlignment="1" applyProtection="1">
      <alignment horizontal="right"/>
      <protection locked="0"/>
    </xf>
    <xf numFmtId="0" fontId="29" fillId="0" borderId="1" xfId="0" applyNumberFormat="1" applyFont="1" applyBorder="1" applyAlignment="1" applyProtection="1">
      <alignment horizontal="center"/>
      <protection locked="0"/>
    </xf>
    <xf numFmtId="172" fontId="165" fillId="0" borderId="0" xfId="4597" applyFont="1" applyAlignment="1">
      <alignment horizontal="left" vertical="top" wrapText="1"/>
    </xf>
    <xf numFmtId="0" fontId="29" fillId="0" borderId="0" xfId="0" applyNumberFormat="1" applyFont="1" applyAlignment="1">
      <alignment horizontal="left" vertical="top" wrapText="1"/>
    </xf>
    <xf numFmtId="172" fontId="165" fillId="0" borderId="0" xfId="0" applyFont="1" applyAlignment="1">
      <alignment horizontal="left" vertical="top" wrapText="1"/>
    </xf>
    <xf numFmtId="0" fontId="29" fillId="0" borderId="0" xfId="4595" applyFont="1" applyAlignment="1">
      <alignment vertical="top" wrapText="1"/>
    </xf>
    <xf numFmtId="0" fontId="29" fillId="0" borderId="0" xfId="4597" quotePrefix="1" applyNumberFormat="1" applyFont="1" applyAlignment="1">
      <alignment horizontal="left" vertical="top" wrapText="1"/>
    </xf>
    <xf numFmtId="0" fontId="29" fillId="0" borderId="0" xfId="0" applyNumberFormat="1" applyFont="1" applyAlignment="1" applyProtection="1">
      <alignment horizontal="left" vertical="center" wrapText="1"/>
      <protection locked="0"/>
    </xf>
    <xf numFmtId="0" fontId="29" fillId="0" borderId="0" xfId="2138" applyFont="1" applyFill="1" applyAlignment="1">
      <alignment horizontal="left" vertical="top" wrapText="1"/>
    </xf>
    <xf numFmtId="0" fontId="121" fillId="0" borderId="0" xfId="4155" applyNumberFormat="1" applyFont="1" applyAlignment="1" applyProtection="1">
      <alignment horizontal="center"/>
      <protection locked="0"/>
    </xf>
    <xf numFmtId="172" fontId="121" fillId="0" borderId="0" xfId="0" applyFont="1" applyAlignment="1">
      <alignment horizontal="center"/>
    </xf>
    <xf numFmtId="0" fontId="130" fillId="0" borderId="4" xfId="4473" applyFont="1" applyBorder="1" applyAlignment="1">
      <alignment horizontal="center"/>
    </xf>
    <xf numFmtId="172" fontId="121" fillId="0" borderId="3" xfId="0" applyFont="1" applyBorder="1" applyAlignment="1">
      <alignment horizontal="center"/>
    </xf>
    <xf numFmtId="0" fontId="29" fillId="0" borderId="0" xfId="4" applyFont="1" applyAlignment="1">
      <alignment vertical="top" wrapText="1"/>
    </xf>
    <xf numFmtId="0" fontId="121" fillId="0" borderId="0" xfId="4" applyFont="1" applyAlignment="1">
      <alignment horizontal="center"/>
    </xf>
    <xf numFmtId="49" fontId="121" fillId="0" borderId="0" xfId="4" applyNumberFormat="1" applyFont="1" applyAlignment="1">
      <alignment horizontal="center"/>
    </xf>
    <xf numFmtId="172" fontId="29" fillId="0" borderId="0" xfId="0" applyFont="1" applyAlignment="1">
      <alignment horizontal="left" vertical="top"/>
    </xf>
    <xf numFmtId="172" fontId="29" fillId="0" borderId="0" xfId="0" applyFont="1" applyAlignment="1">
      <alignment horizontal="left" vertical="center"/>
    </xf>
    <xf numFmtId="0" fontId="121" fillId="0" borderId="48" xfId="4598" applyFont="1" applyBorder="1" applyAlignment="1">
      <alignment horizontal="center"/>
    </xf>
    <xf numFmtId="0" fontId="121" fillId="0" borderId="15" xfId="4598" applyFont="1" applyBorder="1" applyAlignment="1">
      <alignment horizontal="center"/>
    </xf>
    <xf numFmtId="0" fontId="121" fillId="0" borderId="49" xfId="4598" applyFont="1" applyBorder="1" applyAlignment="1">
      <alignment horizontal="center"/>
    </xf>
    <xf numFmtId="172" fontId="121" fillId="0" borderId="48" xfId="0" applyFont="1" applyBorder="1" applyAlignment="1">
      <alignment horizontal="center"/>
    </xf>
    <xf numFmtId="172" fontId="121" fillId="0" borderId="15" xfId="0" applyFont="1" applyBorder="1" applyAlignment="1">
      <alignment horizontal="center"/>
    </xf>
    <xf numFmtId="172" fontId="121" fillId="0" borderId="49" xfId="0" applyFont="1" applyBorder="1" applyAlignment="1">
      <alignment horizontal="center"/>
    </xf>
    <xf numFmtId="0" fontId="163" fillId="0" borderId="0" xfId="4228" applyFont="1" applyAlignment="1">
      <alignment horizontal="left" vertical="top" wrapText="1"/>
    </xf>
    <xf numFmtId="0" fontId="29" fillId="0" borderId="0" xfId="4228" applyFont="1" applyAlignment="1">
      <alignment horizontal="left" vertical="top" wrapText="1"/>
    </xf>
    <xf numFmtId="0" fontId="29" fillId="0" borderId="0" xfId="4" applyFont="1" applyAlignment="1">
      <alignment horizontal="left" vertical="top" wrapText="1"/>
    </xf>
    <xf numFmtId="172" fontId="179" fillId="0" borderId="0" xfId="0" applyFont="1" applyAlignment="1">
      <alignment horizontal="left"/>
    </xf>
    <xf numFmtId="172" fontId="180" fillId="0" borderId="3" xfId="0" applyFont="1" applyBorder="1" applyAlignment="1">
      <alignment horizontal="center"/>
    </xf>
    <xf numFmtId="0" fontId="121" fillId="0" borderId="0" xfId="4598" applyFont="1" applyAlignment="1">
      <alignment horizontal="center"/>
    </xf>
    <xf numFmtId="49" fontId="121" fillId="0" borderId="0" xfId="4597" applyNumberFormat="1" applyFont="1" applyAlignment="1">
      <alignment horizontal="center"/>
    </xf>
    <xf numFmtId="0" fontId="29" fillId="0" borderId="0" xfId="4476" applyFont="1" applyAlignment="1">
      <alignment horizontal="left" vertical="top" wrapText="1"/>
    </xf>
    <xf numFmtId="0" fontId="29" fillId="0" borderId="0" xfId="4476" applyFont="1" applyAlignment="1">
      <alignment horizontal="left" vertical="top"/>
    </xf>
    <xf numFmtId="0" fontId="29" fillId="0" borderId="0" xfId="0" applyNumberFormat="1" applyFont="1" applyAlignment="1" applyProtection="1">
      <alignment horizontal="center"/>
      <protection locked="0"/>
    </xf>
    <xf numFmtId="0" fontId="165" fillId="0" borderId="0" xfId="0" applyNumberFormat="1" applyFont="1" applyAlignment="1">
      <alignment horizontal="left" vertical="top" wrapText="1"/>
    </xf>
    <xf numFmtId="0" fontId="165" fillId="0" borderId="0" xfId="0" applyNumberFormat="1" applyFont="1" applyAlignment="1">
      <alignment horizontal="left"/>
    </xf>
    <xf numFmtId="172" fontId="29" fillId="0" borderId="0" xfId="0" applyFont="1" applyAlignment="1" applyProtection="1">
      <alignment horizontal="left"/>
      <protection locked="0"/>
    </xf>
    <xf numFmtId="172" fontId="121" fillId="0" borderId="0" xfId="4667" applyNumberFormat="1" applyFont="1" applyAlignment="1">
      <alignment horizontal="center"/>
    </xf>
    <xf numFmtId="172" fontId="121" fillId="0" borderId="0" xfId="4667" applyNumberFormat="1" applyFont="1" applyBorder="1" applyAlignment="1">
      <alignment horizontal="center"/>
    </xf>
    <xf numFmtId="172" fontId="121" fillId="0" borderId="3" xfId="4667" applyNumberFormat="1" applyFont="1" applyBorder="1" applyAlignment="1">
      <alignment horizontal="center"/>
    </xf>
    <xf numFmtId="172" fontId="121" fillId="0" borderId="52" xfId="4667" applyNumberFormat="1" applyFont="1" applyFill="1" applyBorder="1" applyAlignment="1">
      <alignment horizontal="center"/>
    </xf>
    <xf numFmtId="172" fontId="121" fillId="0" borderId="3" xfId="4667" applyNumberFormat="1" applyFont="1" applyFill="1" applyBorder="1" applyAlignment="1">
      <alignment horizontal="center"/>
    </xf>
    <xf numFmtId="172" fontId="121" fillId="0" borderId="53" xfId="4667" applyNumberFormat="1" applyFont="1" applyFill="1" applyBorder="1" applyAlignment="1">
      <alignment horizontal="center"/>
    </xf>
    <xf numFmtId="172" fontId="191" fillId="0" borderId="0" xfId="4667" applyNumberFormat="1" applyFont="1" applyAlignment="1">
      <alignment horizontal="center"/>
    </xf>
    <xf numFmtId="172" fontId="29" fillId="0" borderId="0" xfId="4667" applyNumberFormat="1" applyFont="1" applyBorder="1" applyAlignment="1">
      <alignment horizontal="center"/>
    </xf>
    <xf numFmtId="172" fontId="29" fillId="0" borderId="0" xfId="4667" applyNumberFormat="1" applyFont="1" applyFill="1" applyBorder="1" applyAlignment="1">
      <alignment horizontal="center"/>
    </xf>
    <xf numFmtId="172" fontId="29" fillId="0" borderId="38" xfId="4667" applyNumberFormat="1" applyFont="1" applyFill="1" applyBorder="1" applyAlignment="1">
      <alignment horizontal="center"/>
    </xf>
    <xf numFmtId="0" fontId="29" fillId="0" borderId="51" xfId="4352" quotePrefix="1" applyNumberFormat="1" applyFont="1" applyBorder="1" applyAlignment="1">
      <alignment horizontal="center"/>
    </xf>
    <xf numFmtId="0" fontId="29" fillId="0" borderId="4" xfId="4352" quotePrefix="1" applyNumberFormat="1" applyFont="1" applyBorder="1" applyAlignment="1">
      <alignment horizontal="center"/>
    </xf>
    <xf numFmtId="0" fontId="29" fillId="0" borderId="47" xfId="4352" quotePrefix="1" applyNumberFormat="1" applyFont="1" applyBorder="1" applyAlignment="1">
      <alignment horizontal="center"/>
    </xf>
    <xf numFmtId="172" fontId="29" fillId="0" borderId="0" xfId="4667" quotePrefix="1" applyNumberFormat="1" applyFont="1" applyFill="1" applyAlignment="1">
      <alignment horizontal="left" vertical="top" wrapText="1"/>
    </xf>
    <xf numFmtId="172" fontId="121" fillId="0" borderId="0" xfId="4667" applyNumberFormat="1" applyFont="1" applyFill="1" applyAlignment="1">
      <alignment horizontal="center"/>
    </xf>
    <xf numFmtId="172" fontId="121" fillId="0" borderId="0" xfId="4667" applyNumberFormat="1" applyFont="1" applyFill="1" applyAlignment="1">
      <alignment horizontal="left" vertical="top" wrapText="1"/>
    </xf>
    <xf numFmtId="172" fontId="29" fillId="0" borderId="0" xfId="4667" applyNumberFormat="1" applyFont="1" applyFill="1" applyAlignment="1">
      <alignment horizontal="left" vertical="top" wrapText="1"/>
    </xf>
    <xf numFmtId="172" fontId="121" fillId="0" borderId="0" xfId="4667" applyNumberFormat="1" applyFont="1" applyFill="1" applyAlignment="1">
      <alignment wrapText="1"/>
    </xf>
    <xf numFmtId="172" fontId="29" fillId="0" borderId="0" xfId="4667" applyNumberFormat="1" applyFont="1" applyFill="1" applyAlignment="1">
      <alignment wrapText="1"/>
    </xf>
    <xf numFmtId="172" fontId="180" fillId="0" borderId="0" xfId="0" applyFont="1" applyAlignment="1">
      <alignment horizontal="center"/>
    </xf>
    <xf numFmtId="0" fontId="194" fillId="0" borderId="0" xfId="469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49" fontId="194" fillId="0" borderId="0" xfId="4690" applyNumberFormat="1"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0" fontId="164" fillId="3" borderId="0" xfId="4671" applyFont="1" applyFill="1" applyAlignment="1">
      <alignment horizontal="left"/>
    </xf>
    <xf numFmtId="0" fontId="164" fillId="3" borderId="0" xfId="4671" applyFont="1" applyFill="1" applyAlignment="1">
      <alignment horizontal="center"/>
    </xf>
    <xf numFmtId="0" fontId="29" fillId="0" borderId="0" xfId="4671" applyFont="1" applyAlignment="1">
      <alignment horizontal="left"/>
    </xf>
  </cellXfs>
  <cellStyles count="4695">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0000CC"/>
      <color rgb="FF000099"/>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E54"/>
  <sheetViews>
    <sheetView zoomScale="80" zoomScaleNormal="80" workbookViewId="0">
      <selection activeCell="A55" sqref="A55"/>
    </sheetView>
  </sheetViews>
  <sheetFormatPr defaultColWidth="8.81640625" defaultRowHeight="15.6"/>
  <cols>
    <col min="1" max="1" width="23.81640625" style="189" customWidth="1"/>
    <col min="2" max="2" width="36.81640625" style="189" customWidth="1"/>
    <col min="3" max="3" width="67" style="189" bestFit="1" customWidth="1"/>
    <col min="4" max="4" width="18.81640625" style="189" customWidth="1"/>
    <col min="5" max="16384" width="8.81640625" style="189"/>
  </cols>
  <sheetData>
    <row r="1" spans="1:5" ht="20.399999999999999">
      <c r="A1" s="771" t="s">
        <v>317</v>
      </c>
      <c r="B1" s="771"/>
      <c r="C1" s="771"/>
      <c r="D1" s="771"/>
      <c r="E1" s="771"/>
    </row>
    <row r="2" spans="1:5" ht="20.399999999999999">
      <c r="A2" s="771" t="s">
        <v>547</v>
      </c>
      <c r="B2" s="771"/>
      <c r="C2" s="771"/>
      <c r="D2" s="771"/>
      <c r="E2" s="771"/>
    </row>
    <row r="3" spans="1:5">
      <c r="A3" s="190"/>
    </row>
    <row r="4" spans="1:5" ht="20.399999999999999">
      <c r="A4" s="771" t="s">
        <v>303</v>
      </c>
      <c r="B4" s="771"/>
      <c r="C4" s="771"/>
      <c r="D4" s="771"/>
      <c r="E4" s="771"/>
    </row>
    <row r="5" spans="1:5">
      <c r="A5" s="190"/>
      <c r="E5" s="191" t="s">
        <v>673</v>
      </c>
    </row>
    <row r="6" spans="1:5">
      <c r="A6" s="190" t="s">
        <v>304</v>
      </c>
    </row>
    <row r="7" spans="1:5" ht="47.25" customHeight="1">
      <c r="A7" s="769" t="s">
        <v>649</v>
      </c>
      <c r="B7" s="769"/>
      <c r="C7" s="769"/>
      <c r="D7" s="769"/>
      <c r="E7" s="769"/>
    </row>
    <row r="8" spans="1:5">
      <c r="A8" s="192"/>
      <c r="B8" s="192"/>
      <c r="C8" s="192"/>
      <c r="D8" s="192"/>
      <c r="E8" s="192"/>
    </row>
    <row r="9" spans="1:5" ht="36.75" customHeight="1">
      <c r="A9" s="769" t="s">
        <v>650</v>
      </c>
      <c r="B9" s="769"/>
      <c r="C9" s="769"/>
      <c r="D9" s="769"/>
      <c r="E9" s="769"/>
    </row>
    <row r="10" spans="1:5">
      <c r="A10" s="190"/>
    </row>
    <row r="11" spans="1:5" ht="51.75" customHeight="1">
      <c r="A11" s="769" t="s">
        <v>764</v>
      </c>
      <c r="B11" s="769"/>
      <c r="C11" s="769"/>
      <c r="D11" s="769"/>
      <c r="E11" s="769"/>
    </row>
    <row r="12" spans="1:5" ht="32.25" customHeight="1">
      <c r="A12" s="193"/>
      <c r="B12" s="770" t="s">
        <v>305</v>
      </c>
      <c r="C12" s="770"/>
      <c r="D12" s="770"/>
      <c r="E12" s="770"/>
    </row>
    <row r="13" spans="1:5" ht="19.5" customHeight="1">
      <c r="A13" s="194"/>
      <c r="B13" s="195" t="s">
        <v>674</v>
      </c>
      <c r="C13" s="195"/>
      <c r="D13" s="195"/>
      <c r="E13" s="195"/>
    </row>
    <row r="14" spans="1:5">
      <c r="A14" s="190"/>
      <c r="C14" s="189" t="s">
        <v>306</v>
      </c>
    </row>
    <row r="16" spans="1:5" ht="16.2" thickBot="1">
      <c r="A16" s="196" t="s">
        <v>307</v>
      </c>
      <c r="B16" s="196" t="s">
        <v>308</v>
      </c>
      <c r="C16" s="196" t="s">
        <v>191</v>
      </c>
      <c r="D16" s="197" t="s">
        <v>309</v>
      </c>
      <c r="E16" s="196"/>
    </row>
    <row r="17" spans="1:4">
      <c r="D17" s="198"/>
    </row>
    <row r="18" spans="1:4">
      <c r="A18" s="199"/>
      <c r="D18" s="200"/>
    </row>
    <row r="19" spans="1:4">
      <c r="D19" s="198"/>
    </row>
    <row r="20" spans="1:4">
      <c r="A20" s="201" t="s">
        <v>520</v>
      </c>
      <c r="B20" s="189" t="s">
        <v>479</v>
      </c>
      <c r="C20" s="189" t="s">
        <v>540</v>
      </c>
      <c r="D20" s="200" t="s">
        <v>169</v>
      </c>
    </row>
    <row r="21" spans="1:4" ht="17.25" customHeight="1">
      <c r="D21" s="198"/>
    </row>
    <row r="22" spans="1:4">
      <c r="A22" s="201" t="s">
        <v>521</v>
      </c>
      <c r="B22" s="189" t="s">
        <v>531</v>
      </c>
      <c r="C22" s="189" t="s">
        <v>310</v>
      </c>
      <c r="D22" s="200" t="s">
        <v>169</v>
      </c>
    </row>
    <row r="23" spans="1:4">
      <c r="D23" s="200"/>
    </row>
    <row r="24" spans="1:4">
      <c r="A24" s="201" t="s">
        <v>522</v>
      </c>
      <c r="B24" s="189" t="s">
        <v>532</v>
      </c>
      <c r="C24" s="189" t="s">
        <v>541</v>
      </c>
      <c r="D24" s="200" t="s">
        <v>169</v>
      </c>
    </row>
    <row r="25" spans="1:4">
      <c r="D25" s="200"/>
    </row>
    <row r="26" spans="1:4">
      <c r="A26" s="201" t="s">
        <v>523</v>
      </c>
      <c r="B26" s="189" t="s">
        <v>533</v>
      </c>
      <c r="C26" s="189" t="s">
        <v>545</v>
      </c>
      <c r="D26" s="200" t="s">
        <v>169</v>
      </c>
    </row>
    <row r="27" spans="1:4">
      <c r="D27" s="200"/>
    </row>
    <row r="28" spans="1:4">
      <c r="A28" s="201" t="s">
        <v>524</v>
      </c>
      <c r="B28" s="189" t="s">
        <v>534</v>
      </c>
      <c r="C28" s="189" t="s">
        <v>546</v>
      </c>
      <c r="D28" s="200" t="s">
        <v>169</v>
      </c>
    </row>
    <row r="29" spans="1:4">
      <c r="D29" s="200"/>
    </row>
    <row r="30" spans="1:4">
      <c r="A30" s="201" t="s">
        <v>525</v>
      </c>
      <c r="B30" s="189" t="s">
        <v>535</v>
      </c>
      <c r="C30" s="189" t="s">
        <v>542</v>
      </c>
      <c r="D30" s="200" t="s">
        <v>169</v>
      </c>
    </row>
    <row r="31" spans="1:4">
      <c r="D31" s="200"/>
    </row>
    <row r="32" spans="1:4">
      <c r="A32" s="201" t="s">
        <v>526</v>
      </c>
      <c r="B32" s="189" t="s">
        <v>536</v>
      </c>
      <c r="C32" s="189" t="s">
        <v>543</v>
      </c>
      <c r="D32" s="200" t="s">
        <v>169</v>
      </c>
    </row>
    <row r="33" spans="1:4">
      <c r="D33" s="200"/>
    </row>
    <row r="34" spans="1:4">
      <c r="A34" s="189" t="s">
        <v>725</v>
      </c>
      <c r="B34" s="189" t="s">
        <v>685</v>
      </c>
      <c r="C34" s="189" t="s">
        <v>726</v>
      </c>
      <c r="D34" s="200" t="s">
        <v>169</v>
      </c>
    </row>
    <row r="35" spans="1:4">
      <c r="D35" s="200"/>
    </row>
    <row r="36" spans="1:4">
      <c r="A36" s="189" t="s">
        <v>1041</v>
      </c>
      <c r="B36" s="189" t="s">
        <v>1037</v>
      </c>
      <c r="C36" s="189" t="s">
        <v>979</v>
      </c>
      <c r="D36" s="200" t="s">
        <v>169</v>
      </c>
    </row>
    <row r="37" spans="1:4">
      <c r="D37" s="200"/>
    </row>
    <row r="38" spans="1:4">
      <c r="A38" s="189" t="s">
        <v>1040</v>
      </c>
      <c r="B38" s="189" t="s">
        <v>1038</v>
      </c>
      <c r="C38" s="189" t="s">
        <v>1039</v>
      </c>
      <c r="D38" s="200" t="s">
        <v>169</v>
      </c>
    </row>
    <row r="39" spans="1:4">
      <c r="D39" s="200"/>
    </row>
    <row r="40" spans="1:4">
      <c r="A40" s="201" t="s">
        <v>311</v>
      </c>
      <c r="B40" s="189" t="s">
        <v>312</v>
      </c>
      <c r="C40" s="189" t="s">
        <v>313</v>
      </c>
      <c r="D40" s="200" t="s">
        <v>762</v>
      </c>
    </row>
    <row r="41" spans="1:4">
      <c r="D41" s="200"/>
    </row>
    <row r="42" spans="1:4">
      <c r="A42" s="201" t="s">
        <v>527</v>
      </c>
      <c r="B42" s="189" t="s">
        <v>480</v>
      </c>
      <c r="C42" s="189" t="s">
        <v>544</v>
      </c>
      <c r="D42" s="200" t="s">
        <v>763</v>
      </c>
    </row>
    <row r="43" spans="1:4">
      <c r="D43" s="200"/>
    </row>
    <row r="44" spans="1:4">
      <c r="A44" s="201" t="s">
        <v>528</v>
      </c>
      <c r="B44" s="189" t="s">
        <v>537</v>
      </c>
      <c r="C44" s="189" t="s">
        <v>314</v>
      </c>
      <c r="D44" s="200" t="s">
        <v>763</v>
      </c>
    </row>
    <row r="45" spans="1:4">
      <c r="D45" s="200"/>
    </row>
    <row r="46" spans="1:4">
      <c r="A46" s="201" t="s">
        <v>529</v>
      </c>
      <c r="B46" s="189" t="s">
        <v>538</v>
      </c>
      <c r="C46" s="189" t="s">
        <v>315</v>
      </c>
      <c r="D46" s="200" t="s">
        <v>763</v>
      </c>
    </row>
    <row r="47" spans="1:4">
      <c r="D47" s="200"/>
    </row>
    <row r="48" spans="1:4">
      <c r="A48" s="201" t="s">
        <v>530</v>
      </c>
      <c r="B48" s="189" t="s">
        <v>539</v>
      </c>
      <c r="C48" s="189" t="s">
        <v>316</v>
      </c>
      <c r="D48" s="200" t="s">
        <v>763</v>
      </c>
    </row>
    <row r="49" spans="1:4">
      <c r="A49" s="202"/>
      <c r="B49" s="202"/>
      <c r="C49" s="202"/>
      <c r="D49" s="203"/>
    </row>
    <row r="50" spans="1:4">
      <c r="A50" s="201" t="s">
        <v>727</v>
      </c>
      <c r="B50" s="189" t="s">
        <v>728</v>
      </c>
      <c r="C50" s="189" t="s">
        <v>709</v>
      </c>
      <c r="D50" s="200" t="s">
        <v>763</v>
      </c>
    </row>
    <row r="51" spans="1:4">
      <c r="A51" s="202"/>
      <c r="B51" s="202"/>
      <c r="C51" s="202"/>
      <c r="D51" s="203"/>
    </row>
    <row r="52" spans="1:4">
      <c r="A52" s="201" t="s">
        <v>873</v>
      </c>
      <c r="B52" s="189" t="s">
        <v>860</v>
      </c>
      <c r="C52" s="189" t="s">
        <v>874</v>
      </c>
      <c r="D52" s="200" t="s">
        <v>763</v>
      </c>
    </row>
    <row r="53" spans="1:4">
      <c r="A53" s="202"/>
      <c r="B53" s="202"/>
      <c r="C53" s="202"/>
      <c r="D53" s="203"/>
    </row>
    <row r="54" spans="1:4">
      <c r="A54" s="201" t="s">
        <v>736</v>
      </c>
      <c r="B54" s="189" t="s">
        <v>736</v>
      </c>
      <c r="C54" s="189" t="s">
        <v>737</v>
      </c>
      <c r="D54" s="200" t="s">
        <v>762</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A1:Q43"/>
  <sheetViews>
    <sheetView workbookViewId="0">
      <selection activeCell="B45" sqref="B45"/>
    </sheetView>
  </sheetViews>
  <sheetFormatPr defaultColWidth="7.08984375" defaultRowHeight="13.2"/>
  <cols>
    <col min="1" max="1" width="2.08984375" style="204" customWidth="1"/>
    <col min="2" max="2" width="4.81640625" style="204" customWidth="1"/>
    <col min="3" max="3" width="17.453125" style="204" customWidth="1"/>
    <col min="4" max="4" width="36.81640625" style="204" bestFit="1" customWidth="1"/>
    <col min="5" max="5" width="10" style="204" customWidth="1"/>
    <col min="6" max="6" width="7.1796875" style="204" customWidth="1"/>
    <col min="7" max="7" width="7.54296875" style="204" customWidth="1"/>
    <col min="8" max="8" width="9.1796875" style="215" customWidth="1"/>
    <col min="9" max="9" width="8.1796875" style="204" customWidth="1"/>
    <col min="10" max="11" width="7.08984375" style="204"/>
    <col min="12" max="12" width="8.81640625" style="204" customWidth="1"/>
    <col min="13" max="13" width="7.453125" style="204" bestFit="1" customWidth="1"/>
    <col min="14"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7" ht="14.25" customHeight="1">
      <c r="A1" s="798" t="s">
        <v>1037</v>
      </c>
      <c r="B1" s="798"/>
      <c r="C1" s="798"/>
      <c r="D1" s="798"/>
      <c r="E1" s="798"/>
      <c r="F1" s="798"/>
      <c r="G1" s="798"/>
      <c r="H1" s="798"/>
      <c r="K1" s="772"/>
      <c r="L1" s="772"/>
      <c r="M1" s="772"/>
      <c r="N1" s="772"/>
      <c r="O1" s="772"/>
      <c r="P1" s="772"/>
      <c r="Q1" s="772"/>
    </row>
    <row r="2" spans="1:17">
      <c r="A2" s="798" t="s">
        <v>979</v>
      </c>
      <c r="B2" s="798"/>
      <c r="C2" s="798"/>
      <c r="D2" s="798"/>
      <c r="E2" s="798"/>
      <c r="F2" s="798"/>
      <c r="G2" s="798"/>
      <c r="H2" s="798"/>
    </row>
    <row r="3" spans="1:17">
      <c r="A3" s="799" t="str">
        <f>'Act Att-H'!C7</f>
        <v>Cheyenne Light, Fuel &amp; Power</v>
      </c>
      <c r="B3" s="799"/>
      <c r="C3" s="799"/>
      <c r="D3" s="799"/>
      <c r="E3" s="799"/>
      <c r="F3" s="799"/>
      <c r="G3" s="799"/>
      <c r="H3" s="799"/>
    </row>
    <row r="4" spans="1:17">
      <c r="F4" s="2"/>
      <c r="H4" s="205" t="s">
        <v>673</v>
      </c>
    </row>
    <row r="5" spans="1:17">
      <c r="A5" s="216"/>
      <c r="B5" s="216"/>
      <c r="C5" s="216"/>
      <c r="D5" s="216"/>
      <c r="E5" s="216"/>
      <c r="F5" s="216"/>
      <c r="G5" s="216"/>
      <c r="H5" s="216"/>
    </row>
    <row r="6" spans="1:17" ht="60.75" customHeight="1">
      <c r="B6" s="127" t="s">
        <v>4</v>
      </c>
      <c r="C6" s="127" t="s">
        <v>1075</v>
      </c>
      <c r="D6" s="127" t="s">
        <v>191</v>
      </c>
      <c r="E6" s="229" t="s">
        <v>1101</v>
      </c>
      <c r="F6" s="229" t="s">
        <v>10</v>
      </c>
      <c r="G6" s="229" t="s">
        <v>1043</v>
      </c>
      <c r="H6" s="229" t="s">
        <v>1044</v>
      </c>
    </row>
    <row r="7" spans="1:17" ht="15" customHeight="1">
      <c r="B7" s="225"/>
      <c r="C7" s="230" t="s">
        <v>157</v>
      </c>
      <c r="D7" s="231" t="s">
        <v>158</v>
      </c>
      <c r="E7" s="231" t="s">
        <v>159</v>
      </c>
      <c r="F7" s="231" t="s">
        <v>160</v>
      </c>
      <c r="G7" s="231" t="s">
        <v>161</v>
      </c>
      <c r="H7" s="231" t="s">
        <v>162</v>
      </c>
    </row>
    <row r="8" spans="1:17">
      <c r="B8" s="206">
        <v>1</v>
      </c>
      <c r="C8" s="421" t="s">
        <v>1045</v>
      </c>
      <c r="D8" s="204" t="s">
        <v>1045</v>
      </c>
      <c r="E8" s="666">
        <v>15161.89</v>
      </c>
      <c r="F8" s="680" t="s">
        <v>11</v>
      </c>
      <c r="G8" s="681">
        <f>'Act Att-H'!$I$174</f>
        <v>0.94026910793059781</v>
      </c>
      <c r="H8" s="673">
        <f t="shared" ref="H8:H32" si="0">G8*E8</f>
        <v>14256.256784841851</v>
      </c>
      <c r="M8" s="421"/>
    </row>
    <row r="9" spans="1:17" ht="15" customHeight="1">
      <c r="B9" s="206">
        <v>2</v>
      </c>
      <c r="C9" s="421" t="s">
        <v>1120</v>
      </c>
      <c r="D9" s="204" t="s">
        <v>1122</v>
      </c>
      <c r="E9" s="671">
        <f>59832.52+49430.93</f>
        <v>109263.45</v>
      </c>
      <c r="F9" s="680" t="s">
        <v>11</v>
      </c>
      <c r="G9" s="681">
        <f>'Act Att-H'!$I$174</f>
        <v>0.94026910793059781</v>
      </c>
      <c r="H9" s="674">
        <f t="shared" si="0"/>
        <v>102737.04666091947</v>
      </c>
      <c r="M9" s="421"/>
    </row>
    <row r="10" spans="1:17" ht="15" customHeight="1">
      <c r="B10" s="206">
        <v>3</v>
      </c>
      <c r="C10" s="421" t="s">
        <v>1046</v>
      </c>
      <c r="D10" s="204" t="s">
        <v>1053</v>
      </c>
      <c r="E10" s="671">
        <v>5298.66</v>
      </c>
      <c r="F10" s="680" t="s">
        <v>100</v>
      </c>
      <c r="G10" s="681">
        <f>'Act Att-H'!$I$191</f>
        <v>8.3563690936576104E-2</v>
      </c>
      <c r="H10" s="674">
        <f t="shared" si="0"/>
        <v>442.77558661799833</v>
      </c>
      <c r="M10" s="421"/>
    </row>
    <row r="11" spans="1:17" ht="15" customHeight="1">
      <c r="B11" s="206">
        <v>4</v>
      </c>
      <c r="C11" s="421" t="s">
        <v>1121</v>
      </c>
      <c r="D11" s="204" t="s">
        <v>1123</v>
      </c>
      <c r="E11" s="671">
        <v>4187.49</v>
      </c>
      <c r="F11" s="680" t="s">
        <v>100</v>
      </c>
      <c r="G11" s="681">
        <f>'Act Att-H'!$I$191</f>
        <v>8.3563690936576104E-2</v>
      </c>
      <c r="H11" s="674">
        <f t="shared" si="0"/>
        <v>349.92212016000303</v>
      </c>
      <c r="M11" s="421"/>
    </row>
    <row r="12" spans="1:17" ht="15" customHeight="1">
      <c r="B12" s="206">
        <v>5</v>
      </c>
      <c r="C12" s="421" t="s">
        <v>1047</v>
      </c>
      <c r="D12" s="204" t="s">
        <v>1054</v>
      </c>
      <c r="E12" s="671">
        <v>3645.42</v>
      </c>
      <c r="F12" s="680" t="s">
        <v>100</v>
      </c>
      <c r="G12" s="681">
        <f>'Act Att-H'!$I$191</f>
        <v>8.3563690936576104E-2</v>
      </c>
      <c r="H12" s="674">
        <f t="shared" ref="H12:H22" si="1">G12*E12</f>
        <v>304.62475021401326</v>
      </c>
      <c r="M12" s="421"/>
    </row>
    <row r="13" spans="1:17" ht="15" customHeight="1">
      <c r="B13" s="206">
        <v>6</v>
      </c>
      <c r="C13" s="421" t="s">
        <v>1048</v>
      </c>
      <c r="D13" s="204" t="s">
        <v>1055</v>
      </c>
      <c r="E13" s="671">
        <v>2639.95</v>
      </c>
      <c r="F13" s="680" t="s">
        <v>27</v>
      </c>
      <c r="G13" s="681">
        <v>0</v>
      </c>
      <c r="H13" s="674">
        <f t="shared" si="1"/>
        <v>0</v>
      </c>
      <c r="M13" s="421"/>
    </row>
    <row r="14" spans="1:17" ht="15" customHeight="1">
      <c r="B14" s="206">
        <v>7</v>
      </c>
      <c r="C14" s="421" t="s">
        <v>1049</v>
      </c>
      <c r="D14" s="204" t="s">
        <v>1056</v>
      </c>
      <c r="E14" s="671">
        <v>137397.85999999999</v>
      </c>
      <c r="F14" s="680" t="s">
        <v>27</v>
      </c>
      <c r="G14" s="681">
        <v>0</v>
      </c>
      <c r="H14" s="674">
        <f t="shared" si="1"/>
        <v>0</v>
      </c>
      <c r="M14" s="421"/>
    </row>
    <row r="15" spans="1:17" ht="15" customHeight="1">
      <c r="B15" s="206">
        <v>8</v>
      </c>
      <c r="C15" s="421" t="s">
        <v>1050</v>
      </c>
      <c r="D15" s="204" t="s">
        <v>1057</v>
      </c>
      <c r="E15" s="671">
        <v>189739.9</v>
      </c>
      <c r="F15" s="680" t="s">
        <v>100</v>
      </c>
      <c r="G15" s="681">
        <f>'Act Att-H'!$I$191</f>
        <v>8.3563690936576104E-2</v>
      </c>
      <c r="H15" s="674">
        <f t="shared" si="1"/>
        <v>15855.366361936856</v>
      </c>
      <c r="M15" s="421"/>
    </row>
    <row r="16" spans="1:17" ht="15" customHeight="1">
      <c r="B16" s="206">
        <v>9</v>
      </c>
      <c r="C16" s="421" t="s">
        <v>1051</v>
      </c>
      <c r="D16" s="204" t="s">
        <v>1058</v>
      </c>
      <c r="E16" s="671">
        <v>0</v>
      </c>
      <c r="F16" s="680" t="s">
        <v>100</v>
      </c>
      <c r="G16" s="681">
        <f>'Act Att-H'!$I$191</f>
        <v>8.3563690936576104E-2</v>
      </c>
      <c r="H16" s="674">
        <f t="shared" si="1"/>
        <v>0</v>
      </c>
      <c r="M16" s="421"/>
    </row>
    <row r="17" spans="2:13">
      <c r="B17" s="206">
        <v>10</v>
      </c>
      <c r="C17" s="421" t="s">
        <v>1052</v>
      </c>
      <c r="D17" s="204" t="s">
        <v>1059</v>
      </c>
      <c r="E17" s="671">
        <v>679125.77</v>
      </c>
      <c r="F17" s="680" t="s">
        <v>27</v>
      </c>
      <c r="G17" s="681">
        <v>0</v>
      </c>
      <c r="H17" s="674">
        <f t="shared" si="1"/>
        <v>0</v>
      </c>
      <c r="M17" s="421"/>
    </row>
    <row r="18" spans="2:13">
      <c r="B18" s="206">
        <v>11</v>
      </c>
      <c r="C18" s="665" t="s">
        <v>1223</v>
      </c>
      <c r="D18" s="667" t="s">
        <v>1224</v>
      </c>
      <c r="E18" s="671">
        <v>25993.13</v>
      </c>
      <c r="F18" s="670" t="s">
        <v>27</v>
      </c>
      <c r="G18" s="681">
        <f t="shared" ref="G18:G32" si="2">IF(F18=0,0, IF(F18="NA", NA, IF(F18="TP",TP, IF(F18="TE",TE,IF(F18="CE",CE,IF(F18="WS",WS,IF(F18="DA",DA, IF(F18="NP",NP))))))))</f>
        <v>0</v>
      </c>
      <c r="H18" s="674">
        <f t="shared" si="1"/>
        <v>0</v>
      </c>
      <c r="L18" s="421"/>
      <c r="M18" s="421"/>
    </row>
    <row r="19" spans="2:13">
      <c r="B19" s="206">
        <v>12</v>
      </c>
      <c r="C19" s="665" t="s">
        <v>1223</v>
      </c>
      <c r="D19" s="667" t="s">
        <v>1225</v>
      </c>
      <c r="E19" s="671">
        <v>796.96</v>
      </c>
      <c r="F19" s="670" t="s">
        <v>27</v>
      </c>
      <c r="G19" s="681">
        <f t="shared" si="2"/>
        <v>0</v>
      </c>
      <c r="H19" s="674">
        <f t="shared" si="1"/>
        <v>0</v>
      </c>
      <c r="L19" s="421"/>
      <c r="M19" s="421"/>
    </row>
    <row r="20" spans="2:13">
      <c r="B20" s="206">
        <v>13</v>
      </c>
      <c r="C20" s="665" t="s">
        <v>1223</v>
      </c>
      <c r="D20" s="667" t="s">
        <v>1226</v>
      </c>
      <c r="E20" s="671">
        <v>879.63</v>
      </c>
      <c r="F20" s="670" t="s">
        <v>27</v>
      </c>
      <c r="G20" s="681">
        <f t="shared" si="2"/>
        <v>0</v>
      </c>
      <c r="H20" s="674">
        <f t="shared" si="1"/>
        <v>0</v>
      </c>
      <c r="L20" s="421"/>
      <c r="M20" s="421"/>
    </row>
    <row r="21" spans="2:13">
      <c r="B21" s="206">
        <v>14</v>
      </c>
      <c r="C21" s="665" t="s">
        <v>1227</v>
      </c>
      <c r="D21" s="667" t="s">
        <v>1228</v>
      </c>
      <c r="E21" s="671">
        <v>0</v>
      </c>
      <c r="F21" s="670" t="s">
        <v>27</v>
      </c>
      <c r="G21" s="681">
        <f t="shared" si="2"/>
        <v>0</v>
      </c>
      <c r="H21" s="674">
        <f t="shared" si="1"/>
        <v>0</v>
      </c>
      <c r="L21" s="421"/>
      <c r="M21" s="421"/>
    </row>
    <row r="22" spans="2:13">
      <c r="B22" s="206">
        <v>15</v>
      </c>
      <c r="C22" s="665" t="s">
        <v>1234</v>
      </c>
      <c r="D22" s="667" t="s">
        <v>1236</v>
      </c>
      <c r="E22" s="671">
        <v>473954.46</v>
      </c>
      <c r="F22" s="670" t="s">
        <v>27</v>
      </c>
      <c r="G22" s="681">
        <f t="shared" si="2"/>
        <v>0</v>
      </c>
      <c r="H22" s="674">
        <f t="shared" si="1"/>
        <v>0</v>
      </c>
      <c r="J22" s="226"/>
      <c r="L22" s="421"/>
      <c r="M22" s="421"/>
    </row>
    <row r="23" spans="2:13">
      <c r="B23" s="206">
        <v>16</v>
      </c>
      <c r="C23" s="665" t="s">
        <v>1235</v>
      </c>
      <c r="D23" s="667" t="s">
        <v>1237</v>
      </c>
      <c r="E23" s="671">
        <v>34308.080000000002</v>
      </c>
      <c r="F23" s="670" t="s">
        <v>27</v>
      </c>
      <c r="G23" s="681">
        <f t="shared" si="2"/>
        <v>0</v>
      </c>
      <c r="H23" s="674">
        <f t="shared" si="0"/>
        <v>0</v>
      </c>
      <c r="L23" s="421"/>
      <c r="M23" s="421"/>
    </row>
    <row r="24" spans="2:13">
      <c r="B24" s="206">
        <v>17</v>
      </c>
      <c r="C24" s="665"/>
      <c r="D24" s="667"/>
      <c r="E24" s="671"/>
      <c r="F24" s="670"/>
      <c r="G24" s="681">
        <f t="shared" si="2"/>
        <v>0</v>
      </c>
      <c r="H24" s="674">
        <f t="shared" si="0"/>
        <v>0</v>
      </c>
      <c r="L24" s="421"/>
      <c r="M24" s="421"/>
    </row>
    <row r="25" spans="2:13">
      <c r="B25" s="206">
        <v>18</v>
      </c>
      <c r="C25" s="665"/>
      <c r="D25" s="667"/>
      <c r="E25" s="671">
        <v>0</v>
      </c>
      <c r="F25" s="670"/>
      <c r="G25" s="681">
        <f t="shared" si="2"/>
        <v>0</v>
      </c>
      <c r="H25" s="674">
        <f t="shared" si="0"/>
        <v>0</v>
      </c>
      <c r="L25" s="421"/>
      <c r="M25" s="421"/>
    </row>
    <row r="26" spans="2:13">
      <c r="B26" s="206">
        <v>19</v>
      </c>
      <c r="C26" s="665"/>
      <c r="D26" s="667"/>
      <c r="E26" s="671">
        <v>0</v>
      </c>
      <c r="F26" s="670"/>
      <c r="G26" s="681">
        <f t="shared" si="2"/>
        <v>0</v>
      </c>
      <c r="H26" s="674">
        <f t="shared" si="0"/>
        <v>0</v>
      </c>
      <c r="L26" s="421"/>
      <c r="M26" s="421"/>
    </row>
    <row r="27" spans="2:13">
      <c r="B27" s="206">
        <v>20</v>
      </c>
      <c r="C27" s="665"/>
      <c r="D27" s="667"/>
      <c r="E27" s="671">
        <v>0</v>
      </c>
      <c r="F27" s="670"/>
      <c r="G27" s="681">
        <f t="shared" si="2"/>
        <v>0</v>
      </c>
      <c r="H27" s="674">
        <f t="shared" si="0"/>
        <v>0</v>
      </c>
      <c r="J27" s="226"/>
      <c r="L27" s="421"/>
      <c r="M27" s="421"/>
    </row>
    <row r="28" spans="2:13">
      <c r="B28" s="206">
        <v>21</v>
      </c>
      <c r="C28" s="665"/>
      <c r="D28" s="667"/>
      <c r="E28" s="671">
        <v>0</v>
      </c>
      <c r="F28" s="670"/>
      <c r="G28" s="681">
        <f t="shared" si="2"/>
        <v>0</v>
      </c>
      <c r="H28" s="674">
        <f t="shared" si="0"/>
        <v>0</v>
      </c>
      <c r="I28" s="226"/>
      <c r="L28" s="421"/>
      <c r="M28" s="421"/>
    </row>
    <row r="29" spans="2:13">
      <c r="B29" s="206">
        <v>22</v>
      </c>
      <c r="C29" s="665"/>
      <c r="D29" s="667"/>
      <c r="E29" s="671">
        <v>0</v>
      </c>
      <c r="F29" s="670"/>
      <c r="G29" s="681">
        <f t="shared" si="2"/>
        <v>0</v>
      </c>
      <c r="H29" s="674">
        <f t="shared" si="0"/>
        <v>0</v>
      </c>
      <c r="I29" s="226"/>
      <c r="L29" s="421"/>
      <c r="M29" s="421"/>
    </row>
    <row r="30" spans="2:13">
      <c r="B30" s="206">
        <v>23</v>
      </c>
      <c r="C30" s="665"/>
      <c r="D30" s="667"/>
      <c r="E30" s="671">
        <v>0</v>
      </c>
      <c r="F30" s="670"/>
      <c r="G30" s="681">
        <f t="shared" si="2"/>
        <v>0</v>
      </c>
      <c r="H30" s="674">
        <f t="shared" si="0"/>
        <v>0</v>
      </c>
      <c r="I30" s="226"/>
      <c r="L30" s="421"/>
      <c r="M30" s="421"/>
    </row>
    <row r="31" spans="2:13">
      <c r="B31" s="206">
        <v>24</v>
      </c>
      <c r="C31" s="665"/>
      <c r="D31" s="667"/>
      <c r="E31" s="671">
        <v>0</v>
      </c>
      <c r="F31" s="670"/>
      <c r="G31" s="681">
        <f t="shared" si="2"/>
        <v>0</v>
      </c>
      <c r="H31" s="674">
        <f t="shared" si="0"/>
        <v>0</v>
      </c>
      <c r="I31" s="226"/>
      <c r="L31" s="421"/>
      <c r="M31" s="421"/>
    </row>
    <row r="32" spans="2:13">
      <c r="B32" s="206">
        <v>25</v>
      </c>
      <c r="C32" s="665"/>
      <c r="D32" s="667"/>
      <c r="E32" s="671">
        <v>0</v>
      </c>
      <c r="F32" s="670"/>
      <c r="G32" s="681">
        <f t="shared" si="2"/>
        <v>0</v>
      </c>
      <c r="H32" s="674">
        <f t="shared" si="0"/>
        <v>0</v>
      </c>
      <c r="I32" s="226"/>
      <c r="L32" s="421"/>
      <c r="M32" s="421"/>
    </row>
    <row r="33" spans="2:9">
      <c r="B33" s="206">
        <v>26</v>
      </c>
      <c r="C33" s="311" t="s">
        <v>9</v>
      </c>
      <c r="D33" s="311" t="s">
        <v>636</v>
      </c>
      <c r="E33" s="437">
        <f>SUM(E8:E32)</f>
        <v>1682392.65</v>
      </c>
      <c r="F33" s="668"/>
      <c r="G33" s="672"/>
      <c r="H33" s="669">
        <f>SUM(H8:H32)</f>
        <v>133945.9922646902</v>
      </c>
      <c r="I33" s="226"/>
    </row>
    <row r="34" spans="2:9">
      <c r="B34" s="206">
        <v>27</v>
      </c>
      <c r="C34" s="204" t="s">
        <v>1108</v>
      </c>
      <c r="D34" s="756"/>
      <c r="E34" s="220">
        <f>'A4-Rate Base'!I70</f>
        <v>1682392.7692307692</v>
      </c>
      <c r="F34" s="691"/>
      <c r="G34" s="691"/>
      <c r="H34" s="691"/>
      <c r="I34" s="226"/>
    </row>
    <row r="35" spans="2:9">
      <c r="B35" s="206">
        <v>28</v>
      </c>
      <c r="C35" s="204" t="s">
        <v>1109</v>
      </c>
      <c r="D35" s="756"/>
      <c r="E35" s="437">
        <f>E34-E33</f>
        <v>0.11923076934181154</v>
      </c>
      <c r="F35" s="691"/>
      <c r="G35" s="691"/>
      <c r="H35" s="691"/>
      <c r="I35" s="226"/>
    </row>
    <row r="36" spans="2:9">
      <c r="B36" s="206"/>
      <c r="H36" s="226"/>
    </row>
    <row r="37" spans="2:9">
      <c r="B37" s="206"/>
      <c r="H37" s="226"/>
    </row>
    <row r="38" spans="2:9">
      <c r="B38" s="383" t="s">
        <v>174</v>
      </c>
      <c r="H38" s="226"/>
    </row>
    <row r="39" spans="2:9">
      <c r="B39" s="206" t="s">
        <v>79</v>
      </c>
      <c r="C39" s="204" t="s">
        <v>1060</v>
      </c>
      <c r="H39" s="226"/>
    </row>
    <row r="40" spans="2:9" ht="147" customHeight="1">
      <c r="B40" s="423" t="s">
        <v>80</v>
      </c>
      <c r="C40" s="810" t="s">
        <v>1173</v>
      </c>
      <c r="D40" s="810"/>
      <c r="E40" s="810"/>
      <c r="F40" s="810"/>
      <c r="G40" s="810"/>
      <c r="H40" s="810"/>
    </row>
    <row r="41" spans="2:9" ht="26.25" customHeight="1">
      <c r="B41" s="423" t="s">
        <v>81</v>
      </c>
      <c r="C41" s="810" t="s">
        <v>1110</v>
      </c>
      <c r="D41" s="810"/>
      <c r="E41" s="810"/>
      <c r="F41" s="810"/>
      <c r="G41" s="810"/>
      <c r="H41" s="810"/>
    </row>
    <row r="42" spans="2:9">
      <c r="B42" s="206"/>
    </row>
    <row r="43" spans="2:9">
      <c r="B43" s="206"/>
      <c r="C43" s="595"/>
    </row>
  </sheetData>
  <mergeCells count="6">
    <mergeCell ref="C41:H41"/>
    <mergeCell ref="K1:Q1"/>
    <mergeCell ref="A1:H1"/>
    <mergeCell ref="A2:H2"/>
    <mergeCell ref="A3:H3"/>
    <mergeCell ref="C40:H40"/>
  </mergeCells>
  <printOptions horizontalCentered="1"/>
  <pageMargins left="0.75" right="0.75" top="1" bottom="1" header="0.5" footer="0.5"/>
  <pageSetup scale="80" orientation="portrait" r:id="rId1"/>
  <headerFooter alignWithMargins="0"/>
  <ignoredErrors>
    <ignoredError sqref="H23:H32 G8:G11 H8:H11 H18:H22 G18:G3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pageSetUpPr fitToPage="1"/>
  </sheetPr>
  <dimension ref="A1:P23"/>
  <sheetViews>
    <sheetView topLeftCell="B1" workbookViewId="0">
      <selection activeCell="B24" sqref="B24"/>
    </sheetView>
  </sheetViews>
  <sheetFormatPr defaultColWidth="7.08984375" defaultRowHeight="13.2"/>
  <cols>
    <col min="1" max="1" width="2.08984375" style="204" customWidth="1"/>
    <col min="2" max="2" width="4.81640625" style="204" customWidth="1"/>
    <col min="3" max="3" width="27.81640625" style="204" customWidth="1"/>
    <col min="4" max="5" width="8.1796875" style="204" bestFit="1" customWidth="1"/>
    <col min="6" max="6" width="7.81640625" style="204" customWidth="1"/>
    <col min="7" max="7" width="7" style="204" customWidth="1"/>
    <col min="8" max="8" width="9.1796875" style="215" customWidth="1"/>
    <col min="9" max="9" width="8.1796875" style="204" customWidth="1"/>
    <col min="10" max="10" width="7.08984375" style="204"/>
    <col min="11" max="11" width="10" style="204" customWidth="1"/>
    <col min="12"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6" ht="14.25" customHeight="1">
      <c r="A1" s="798" t="s">
        <v>1038</v>
      </c>
      <c r="B1" s="798"/>
      <c r="C1" s="798"/>
      <c r="D1" s="798"/>
      <c r="E1" s="798"/>
      <c r="F1" s="798"/>
      <c r="G1" s="798"/>
      <c r="H1" s="798"/>
      <c r="J1" s="772"/>
      <c r="K1" s="772"/>
      <c r="L1" s="772"/>
      <c r="M1" s="772"/>
      <c r="N1" s="772"/>
      <c r="O1" s="772"/>
      <c r="P1" s="772"/>
    </row>
    <row r="2" spans="1:16">
      <c r="A2" s="798" t="s">
        <v>1039</v>
      </c>
      <c r="B2" s="798"/>
      <c r="C2" s="798"/>
      <c r="D2" s="798"/>
      <c r="E2" s="798"/>
      <c r="F2" s="798"/>
      <c r="G2" s="798"/>
      <c r="H2" s="798"/>
    </row>
    <row r="3" spans="1:16">
      <c r="A3" s="799" t="str">
        <f>'Act Att-H'!C7</f>
        <v>Cheyenne Light, Fuel &amp; Power</v>
      </c>
      <c r="B3" s="799"/>
      <c r="C3" s="799"/>
      <c r="D3" s="799"/>
      <c r="E3" s="799"/>
      <c r="F3" s="799"/>
      <c r="G3" s="799"/>
      <c r="H3" s="799"/>
    </row>
    <row r="4" spans="1:16">
      <c r="F4" s="2"/>
      <c r="H4" s="205" t="s">
        <v>673</v>
      </c>
    </row>
    <row r="5" spans="1:16">
      <c r="A5" s="216"/>
      <c r="B5" s="216"/>
      <c r="C5" s="216"/>
      <c r="D5" s="216"/>
      <c r="E5" s="216"/>
      <c r="F5" s="216"/>
      <c r="G5" s="216"/>
      <c r="H5" s="216"/>
    </row>
    <row r="6" spans="1:16" ht="60.75" customHeight="1">
      <c r="B6" s="127" t="s">
        <v>4</v>
      </c>
      <c r="C6" s="229" t="s">
        <v>478</v>
      </c>
      <c r="D6" s="229" t="s">
        <v>1042</v>
      </c>
      <c r="E6" s="229" t="s">
        <v>10</v>
      </c>
      <c r="F6" s="229" t="s">
        <v>1043</v>
      </c>
      <c r="G6" s="229" t="s">
        <v>1044</v>
      </c>
      <c r="H6" s="204"/>
    </row>
    <row r="7" spans="1:16" ht="15" customHeight="1">
      <c r="B7" s="225"/>
      <c r="C7" s="230" t="s">
        <v>157</v>
      </c>
      <c r="D7" s="231" t="s">
        <v>158</v>
      </c>
      <c r="E7" s="231" t="s">
        <v>159</v>
      </c>
      <c r="F7" s="231" t="s">
        <v>160</v>
      </c>
      <c r="G7" s="231" t="s">
        <v>161</v>
      </c>
      <c r="H7" s="204"/>
    </row>
    <row r="8" spans="1:16" ht="15" customHeight="1">
      <c r="B8" s="206">
        <v>1</v>
      </c>
      <c r="C8" s="421" t="s">
        <v>1061</v>
      </c>
      <c r="D8" s="666">
        <v>15663</v>
      </c>
      <c r="E8" s="680" t="s">
        <v>100</v>
      </c>
      <c r="F8" s="681">
        <f t="shared" ref="F8:F13" si="0">IF(E8=0,0, IF(E8="NA", NA, IF(E8="TP",TP, IF(E8="TE",TE,IF(E8="CE",CE,IF(E8="WS",WS,IF(E8="DA",DA, IF(E8="GP",GP))))))))</f>
        <v>8.3563690936576104E-2</v>
      </c>
      <c r="G8" s="673">
        <f t="shared" ref="G8:G16" si="1">F8*D8</f>
        <v>1308.8580911395916</v>
      </c>
      <c r="H8" s="204"/>
      <c r="K8" s="421"/>
      <c r="L8" s="2"/>
    </row>
    <row r="9" spans="1:16" ht="15" customHeight="1">
      <c r="B9" s="206">
        <v>2</v>
      </c>
      <c r="C9" s="421" t="s">
        <v>1062</v>
      </c>
      <c r="D9" s="671">
        <v>2257</v>
      </c>
      <c r="E9" s="680" t="s">
        <v>27</v>
      </c>
      <c r="F9" s="681">
        <f t="shared" si="0"/>
        <v>0</v>
      </c>
      <c r="G9" s="674">
        <f t="shared" si="1"/>
        <v>0</v>
      </c>
      <c r="H9" s="204"/>
      <c r="K9" s="421"/>
      <c r="L9" s="2"/>
    </row>
    <row r="10" spans="1:16" ht="15" customHeight="1">
      <c r="B10" s="206">
        <v>3</v>
      </c>
      <c r="C10" s="421" t="s">
        <v>1063</v>
      </c>
      <c r="D10" s="671">
        <v>66171</v>
      </c>
      <c r="E10" s="680" t="s">
        <v>100</v>
      </c>
      <c r="F10" s="681">
        <f t="shared" si="0"/>
        <v>8.3563690936576104E-2</v>
      </c>
      <c r="G10" s="674">
        <f t="shared" si="1"/>
        <v>5529.4929929641776</v>
      </c>
      <c r="H10" s="204"/>
      <c r="K10" s="421"/>
      <c r="L10" s="2"/>
    </row>
    <row r="11" spans="1:16" ht="15" customHeight="1">
      <c r="B11" s="206">
        <v>4</v>
      </c>
      <c r="C11" s="421" t="s">
        <v>1064</v>
      </c>
      <c r="D11" s="671">
        <v>50230</v>
      </c>
      <c r="E11" s="680" t="s">
        <v>27</v>
      </c>
      <c r="F11" s="681">
        <f t="shared" si="0"/>
        <v>0</v>
      </c>
      <c r="G11" s="674">
        <f t="shared" si="1"/>
        <v>0</v>
      </c>
      <c r="H11" s="204"/>
      <c r="K11" s="421"/>
      <c r="L11" s="2"/>
    </row>
    <row r="12" spans="1:16" ht="15" customHeight="1">
      <c r="B12" s="206">
        <v>5</v>
      </c>
      <c r="C12" s="421" t="s">
        <v>1073</v>
      </c>
      <c r="D12" s="671">
        <v>-50470</v>
      </c>
      <c r="E12" s="680" t="s">
        <v>100</v>
      </c>
      <c r="F12" s="681">
        <f t="shared" si="0"/>
        <v>8.3563690936576104E-2</v>
      </c>
      <c r="G12" s="674">
        <f t="shared" si="1"/>
        <v>-4217.4594815689961</v>
      </c>
      <c r="H12" s="204"/>
      <c r="K12" s="421"/>
      <c r="L12" s="2"/>
    </row>
    <row r="13" spans="1:16" ht="15" customHeight="1">
      <c r="B13" s="206">
        <v>6</v>
      </c>
      <c r="C13" s="421" t="s">
        <v>1065</v>
      </c>
      <c r="D13" s="671">
        <v>78350</v>
      </c>
      <c r="E13" s="680" t="s">
        <v>37</v>
      </c>
      <c r="F13" s="681">
        <f t="shared" si="0"/>
        <v>0.15020657762011552</v>
      </c>
      <c r="G13" s="674">
        <f t="shared" si="1"/>
        <v>11768.685356536051</v>
      </c>
      <c r="H13" s="204"/>
      <c r="K13" s="421"/>
      <c r="L13" s="2"/>
    </row>
    <row r="14" spans="1:16" ht="15" customHeight="1">
      <c r="B14" s="206">
        <v>7</v>
      </c>
      <c r="C14" s="421" t="s">
        <v>1163</v>
      </c>
      <c r="D14" s="671">
        <v>0</v>
      </c>
      <c r="E14" s="680" t="s">
        <v>100</v>
      </c>
      <c r="F14" s="681">
        <f t="shared" ref="F14:F16" si="2">IF(E14=0,0, IF(E14="NA", NA, IF(E14="TP",TP, IF(E14="TE",TE,IF(E14="CE",CE,IF(E14="WS",WS,IF(E14="DA",DA, IF(E14="GP",GP))))))))</f>
        <v>8.3563690936576104E-2</v>
      </c>
      <c r="G14" s="674">
        <f t="shared" si="1"/>
        <v>0</v>
      </c>
      <c r="H14" s="204"/>
      <c r="K14" s="421"/>
      <c r="L14" s="2"/>
    </row>
    <row r="15" spans="1:16" ht="15" customHeight="1">
      <c r="B15" s="206">
        <v>8</v>
      </c>
      <c r="C15" s="421" t="s">
        <v>1165</v>
      </c>
      <c r="D15" s="671">
        <v>0</v>
      </c>
      <c r="E15" s="680" t="s">
        <v>100</v>
      </c>
      <c r="F15" s="681">
        <f t="shared" si="2"/>
        <v>8.3563690936576104E-2</v>
      </c>
      <c r="G15" s="674">
        <f t="shared" si="1"/>
        <v>0</v>
      </c>
      <c r="H15" s="204"/>
      <c r="K15" s="421"/>
      <c r="L15" s="2"/>
    </row>
    <row r="16" spans="1:16" ht="15" customHeight="1">
      <c r="B16" s="206">
        <v>9</v>
      </c>
      <c r="C16" s="421" t="s">
        <v>1164</v>
      </c>
      <c r="D16" s="671">
        <v>0</v>
      </c>
      <c r="E16" s="680" t="s">
        <v>100</v>
      </c>
      <c r="F16" s="681">
        <f t="shared" si="2"/>
        <v>8.3563690936576104E-2</v>
      </c>
      <c r="G16" s="674">
        <f t="shared" si="1"/>
        <v>0</v>
      </c>
      <c r="H16" s="204"/>
      <c r="K16" s="421"/>
      <c r="L16" s="2"/>
    </row>
    <row r="17" spans="2:8">
      <c r="B17" s="206">
        <v>10</v>
      </c>
      <c r="C17" s="311" t="s">
        <v>9</v>
      </c>
      <c r="D17" s="668" t="s">
        <v>1111</v>
      </c>
      <c r="E17" s="668"/>
      <c r="F17" s="672"/>
      <c r="G17" s="675">
        <f>SUM(G8:G16)</f>
        <v>14389.576959070824</v>
      </c>
      <c r="H17" s="226"/>
    </row>
    <row r="18" spans="2:8">
      <c r="B18" s="206"/>
      <c r="H18" s="226"/>
    </row>
    <row r="19" spans="2:8">
      <c r="B19" s="206"/>
      <c r="H19" s="226"/>
    </row>
    <row r="20" spans="2:8">
      <c r="B20" s="383" t="s">
        <v>174</v>
      </c>
      <c r="H20" s="226"/>
    </row>
    <row r="21" spans="2:8">
      <c r="B21" s="206" t="s">
        <v>79</v>
      </c>
      <c r="C21" s="204" t="s">
        <v>1204</v>
      </c>
      <c r="H21" s="226"/>
    </row>
    <row r="22" spans="2:8">
      <c r="B22" s="206"/>
    </row>
    <row r="23" spans="2:8">
      <c r="B23" s="206"/>
      <c r="C23" s="595"/>
    </row>
  </sheetData>
  <mergeCells count="4">
    <mergeCell ref="A1:H1"/>
    <mergeCell ref="A2:H2"/>
    <mergeCell ref="A3:H3"/>
    <mergeCell ref="J1:P1"/>
  </mergeCells>
  <printOptions horizontalCentered="1"/>
  <pageMargins left="0.75" right="0.75" top="1" bottom="1" header="0.5" footer="0.5"/>
  <pageSetup scale="99" orientation="portrait" r:id="rId1"/>
  <headerFooter alignWithMargins="0"/>
  <ignoredErrors>
    <ignoredError sqref="G8:G1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P140"/>
  <sheetViews>
    <sheetView workbookViewId="0">
      <selection activeCell="A68" sqref="A68"/>
    </sheetView>
  </sheetViews>
  <sheetFormatPr defaultColWidth="7.08984375" defaultRowHeight="13.2"/>
  <cols>
    <col min="1" max="1" width="5.1796875" style="241" customWidth="1"/>
    <col min="2" max="2" width="5.54296875" style="241" customWidth="1"/>
    <col min="3" max="3" width="5.08984375" style="241" customWidth="1"/>
    <col min="4" max="4" width="12.81640625" style="240" customWidth="1"/>
    <col min="5" max="5" width="22.81640625" style="240" customWidth="1"/>
    <col min="6" max="6" width="12.1796875" style="240" customWidth="1"/>
    <col min="7" max="7" width="13.453125" style="240" bestFit="1" customWidth="1"/>
    <col min="8" max="8" width="19.1796875" style="240" customWidth="1"/>
    <col min="9" max="9" width="4.81640625" style="240" bestFit="1" customWidth="1"/>
    <col min="10" max="10" width="13" style="240" customWidth="1"/>
    <col min="11" max="11" width="13" style="240" bestFit="1" customWidth="1"/>
    <col min="12" max="13" width="12.1796875" style="240" customWidth="1"/>
    <col min="14" max="14" width="11.54296875" style="240" bestFit="1" customWidth="1"/>
    <col min="15" max="15" width="7.1796875" style="240" bestFit="1" customWidth="1"/>
    <col min="16" max="16" width="11.81640625" style="240" bestFit="1" customWidth="1"/>
    <col min="17" max="16384" width="7.08984375" style="240"/>
  </cols>
  <sheetData>
    <row r="1" spans="1:16">
      <c r="A1" s="798" t="s">
        <v>312</v>
      </c>
      <c r="B1" s="798"/>
      <c r="C1" s="798"/>
      <c r="D1" s="798"/>
      <c r="E1" s="798"/>
      <c r="F1" s="798"/>
      <c r="G1" s="798"/>
      <c r="H1" s="798"/>
      <c r="J1" s="772"/>
      <c r="K1" s="772"/>
      <c r="L1" s="772"/>
      <c r="M1" s="772"/>
      <c r="N1" s="772"/>
      <c r="O1" s="772"/>
      <c r="P1" s="772"/>
    </row>
    <row r="2" spans="1:16">
      <c r="A2" s="798" t="s">
        <v>552</v>
      </c>
      <c r="B2" s="798"/>
      <c r="C2" s="798"/>
      <c r="D2" s="798"/>
      <c r="E2" s="798"/>
      <c r="F2" s="798"/>
      <c r="G2" s="798"/>
      <c r="H2" s="798"/>
    </row>
    <row r="3" spans="1:16">
      <c r="A3" s="799" t="str">
        <f>'Act Att-H'!C7</f>
        <v>Cheyenne Light, Fuel &amp; Power</v>
      </c>
      <c r="B3" s="799"/>
      <c r="C3" s="799"/>
      <c r="D3" s="799"/>
      <c r="E3" s="799"/>
      <c r="F3" s="799"/>
      <c r="G3" s="799"/>
      <c r="H3" s="799"/>
    </row>
    <row r="4" spans="1:16">
      <c r="H4" s="242" t="s">
        <v>673</v>
      </c>
    </row>
    <row r="5" spans="1:16">
      <c r="A5" s="243" t="s">
        <v>266</v>
      </c>
    </row>
    <row r="6" spans="1:16">
      <c r="A6" s="664" t="s">
        <v>267</v>
      </c>
      <c r="B6" s="664" t="s">
        <v>268</v>
      </c>
      <c r="C6" s="664" t="s">
        <v>269</v>
      </c>
      <c r="D6" s="664" t="s">
        <v>270</v>
      </c>
      <c r="E6" s="241"/>
    </row>
    <row r="7" spans="1:16">
      <c r="A7" s="241">
        <v>1</v>
      </c>
      <c r="B7" s="241" t="s">
        <v>271</v>
      </c>
      <c r="C7" s="241" t="s">
        <v>272</v>
      </c>
      <c r="D7" s="244" t="s">
        <v>446</v>
      </c>
      <c r="E7" s="244"/>
    </row>
    <row r="8" spans="1:16">
      <c r="A8" s="241">
        <f>A7+1</f>
        <v>2</v>
      </c>
      <c r="B8" s="241" t="s">
        <v>271</v>
      </c>
      <c r="C8" s="241" t="s">
        <v>272</v>
      </c>
      <c r="D8" s="244" t="s">
        <v>273</v>
      </c>
      <c r="E8" s="244"/>
    </row>
    <row r="9" spans="1:16">
      <c r="A9" s="241">
        <f t="shared" ref="A9:A17" si="0">A8+1</f>
        <v>3</v>
      </c>
      <c r="B9" s="245" t="s">
        <v>274</v>
      </c>
      <c r="C9" s="241" t="s">
        <v>275</v>
      </c>
      <c r="D9" s="244" t="s">
        <v>276</v>
      </c>
      <c r="E9" s="244"/>
    </row>
    <row r="10" spans="1:16">
      <c r="A10" s="241">
        <f t="shared" si="0"/>
        <v>4</v>
      </c>
      <c r="B10" s="241" t="str">
        <f>+B7</f>
        <v>Oct</v>
      </c>
      <c r="C10" s="241" t="s">
        <v>275</v>
      </c>
      <c r="D10" s="244" t="s">
        <v>443</v>
      </c>
      <c r="E10" s="244"/>
    </row>
    <row r="11" spans="1:16">
      <c r="A11" s="241">
        <f t="shared" si="0"/>
        <v>5</v>
      </c>
      <c r="B11" s="241" t="s">
        <v>271</v>
      </c>
      <c r="C11" s="241" t="str">
        <f>C10</f>
        <v>Year 1</v>
      </c>
      <c r="D11" s="244" t="s">
        <v>277</v>
      </c>
      <c r="E11" s="244"/>
    </row>
    <row r="12" spans="1:16">
      <c r="A12" s="241">
        <f t="shared" si="0"/>
        <v>6</v>
      </c>
      <c r="B12" s="241" t="s">
        <v>274</v>
      </c>
      <c r="C12" s="241" t="s">
        <v>278</v>
      </c>
      <c r="D12" s="244" t="s">
        <v>279</v>
      </c>
      <c r="E12" s="244"/>
    </row>
    <row r="13" spans="1:16">
      <c r="A13" s="241">
        <f t="shared" si="0"/>
        <v>7</v>
      </c>
      <c r="B13" s="241" t="s">
        <v>280</v>
      </c>
      <c r="C13" s="241" t="s">
        <v>278</v>
      </c>
      <c r="D13" s="244" t="s">
        <v>444</v>
      </c>
      <c r="E13" s="246"/>
      <c r="F13" s="247"/>
      <c r="G13" s="247"/>
      <c r="H13" s="247"/>
      <c r="I13" s="247"/>
      <c r="J13" s="247"/>
      <c r="K13" s="247"/>
    </row>
    <row r="14" spans="1:16">
      <c r="A14" s="241">
        <f t="shared" si="0"/>
        <v>8</v>
      </c>
      <c r="B14" s="241" t="s">
        <v>280</v>
      </c>
      <c r="C14" s="241" t="s">
        <v>278</v>
      </c>
      <c r="D14" s="244" t="s">
        <v>281</v>
      </c>
      <c r="E14" s="244"/>
    </row>
    <row r="15" spans="1:16">
      <c r="A15" s="241">
        <f t="shared" si="0"/>
        <v>9</v>
      </c>
      <c r="B15" s="241" t="s">
        <v>280</v>
      </c>
      <c r="C15" s="241" t="s">
        <v>278</v>
      </c>
      <c r="D15" s="244" t="s">
        <v>282</v>
      </c>
    </row>
    <row r="16" spans="1:16">
      <c r="A16" s="241">
        <f t="shared" si="0"/>
        <v>10</v>
      </c>
      <c r="B16" s="241" t="s">
        <v>271</v>
      </c>
      <c r="C16" s="241" t="s">
        <v>278</v>
      </c>
      <c r="D16" s="244" t="s">
        <v>445</v>
      </c>
      <c r="E16" s="244"/>
    </row>
    <row r="17" spans="1:16">
      <c r="A17" s="241">
        <f t="shared" si="0"/>
        <v>11</v>
      </c>
      <c r="B17" s="241" t="s">
        <v>271</v>
      </c>
      <c r="C17" s="241" t="s">
        <v>278</v>
      </c>
      <c r="D17" s="244" t="s">
        <v>283</v>
      </c>
      <c r="E17" s="244"/>
    </row>
    <row r="18" spans="1:16">
      <c r="A18" s="240"/>
      <c r="B18" s="240"/>
      <c r="C18" s="240"/>
      <c r="E18" s="244"/>
    </row>
    <row r="19" spans="1:16">
      <c r="A19" s="240"/>
      <c r="B19" s="243" t="s">
        <v>809</v>
      </c>
    </row>
    <row r="20" spans="1:16" ht="12.75" customHeight="1" thickBot="1">
      <c r="A20" s="241">
        <f>A17+1</f>
        <v>12</v>
      </c>
      <c r="D20" s="247"/>
      <c r="E20" s="247"/>
      <c r="F20" s="247"/>
      <c r="H20" s="248" t="s">
        <v>284</v>
      </c>
      <c r="I20" s="247"/>
      <c r="N20" s="766"/>
      <c r="O20" s="766"/>
      <c r="P20" s="766"/>
    </row>
    <row r="21" spans="1:16" ht="12.75" customHeight="1">
      <c r="A21" s="241">
        <f>A20+1</f>
        <v>13</v>
      </c>
      <c r="C21" s="240" t="s">
        <v>285</v>
      </c>
      <c r="E21" s="247"/>
      <c r="F21" s="249"/>
      <c r="H21" s="436">
        <f>'Act Att-H'!I19</f>
        <v>13754470.05185896</v>
      </c>
      <c r="I21" s="247"/>
      <c r="J21" s="421"/>
      <c r="N21" s="251"/>
      <c r="O21" s="251"/>
      <c r="P21" s="251"/>
    </row>
    <row r="22" spans="1:16">
      <c r="A22" s="241">
        <f t="shared" ref="A22:A23" si="1">A21+1</f>
        <v>14</v>
      </c>
      <c r="B22" s="252"/>
      <c r="C22" s="240" t="s">
        <v>820</v>
      </c>
      <c r="F22" s="250"/>
      <c r="H22" s="436">
        <v>16189599.375185499</v>
      </c>
      <c r="I22" s="247"/>
      <c r="J22" s="421"/>
      <c r="N22" s="253"/>
      <c r="O22" s="253"/>
      <c r="P22" s="253"/>
    </row>
    <row r="23" spans="1:16">
      <c r="A23" s="241">
        <f t="shared" si="1"/>
        <v>15</v>
      </c>
      <c r="C23" s="240" t="s">
        <v>1076</v>
      </c>
      <c r="F23" s="254" t="s">
        <v>782</v>
      </c>
      <c r="H23" s="403">
        <f>+H21-H22</f>
        <v>-2435129.3233265392</v>
      </c>
      <c r="I23" s="247"/>
      <c r="N23" s="766"/>
      <c r="O23" s="766"/>
      <c r="P23" s="766"/>
    </row>
    <row r="24" spans="1:16">
      <c r="F24" s="254"/>
      <c r="I24" s="247"/>
    </row>
    <row r="25" spans="1:16">
      <c r="A25" s="240"/>
      <c r="B25" s="243" t="s">
        <v>810</v>
      </c>
    </row>
    <row r="26" spans="1:16" ht="12.75" customHeight="1" thickBot="1">
      <c r="A26" s="241">
        <f>A23+1</f>
        <v>16</v>
      </c>
      <c r="D26" s="247"/>
      <c r="E26" s="247"/>
      <c r="F26" s="247"/>
      <c r="H26" s="248" t="s">
        <v>284</v>
      </c>
      <c r="I26" s="247"/>
      <c r="N26" s="766"/>
      <c r="O26" s="766"/>
      <c r="P26" s="766"/>
    </row>
    <row r="27" spans="1:16">
      <c r="A27" s="241">
        <f>A26+1</f>
        <v>17</v>
      </c>
      <c r="C27" s="240" t="s">
        <v>813</v>
      </c>
      <c r="E27" s="247"/>
      <c r="F27" s="249"/>
      <c r="H27" s="543">
        <f>'A6-Divisor'!E21</f>
        <v>287750</v>
      </c>
      <c r="I27" s="247" t="s">
        <v>812</v>
      </c>
      <c r="J27" s="421"/>
      <c r="N27" s="251"/>
      <c r="O27" s="251"/>
      <c r="P27" s="251"/>
    </row>
    <row r="28" spans="1:16">
      <c r="A28" s="241">
        <f t="shared" ref="A28:A33" si="2">A27+1</f>
        <v>18</v>
      </c>
      <c r="B28" s="252"/>
      <c r="C28" s="240" t="s">
        <v>821</v>
      </c>
      <c r="F28" s="250"/>
      <c r="H28" s="543">
        <v>266932.20628415298</v>
      </c>
      <c r="I28" s="247" t="s">
        <v>812</v>
      </c>
      <c r="J28" s="421"/>
      <c r="N28" s="253"/>
      <c r="O28" s="253"/>
      <c r="P28" s="253"/>
    </row>
    <row r="29" spans="1:16">
      <c r="A29" s="241">
        <f t="shared" si="2"/>
        <v>19</v>
      </c>
      <c r="C29" s="240" t="s">
        <v>958</v>
      </c>
      <c r="F29" s="254" t="s">
        <v>819</v>
      </c>
      <c r="H29" s="544">
        <f>H28-H27</f>
        <v>-20817.793715847016</v>
      </c>
      <c r="I29" s="247" t="s">
        <v>812</v>
      </c>
      <c r="N29" s="766"/>
      <c r="O29" s="766"/>
      <c r="P29" s="766"/>
    </row>
    <row r="30" spans="1:16" ht="12.75" customHeight="1">
      <c r="A30" s="241">
        <f t="shared" si="2"/>
        <v>20</v>
      </c>
      <c r="C30" s="240"/>
      <c r="D30" s="247"/>
      <c r="E30" s="247"/>
      <c r="F30" s="254"/>
      <c r="H30" s="545"/>
      <c r="I30" s="247"/>
      <c r="N30" s="766"/>
      <c r="O30" s="766"/>
      <c r="P30" s="766"/>
    </row>
    <row r="31" spans="1:16">
      <c r="A31" s="241">
        <f t="shared" si="2"/>
        <v>21</v>
      </c>
      <c r="C31" s="240" t="s">
        <v>822</v>
      </c>
      <c r="E31" s="247"/>
      <c r="F31" s="254" t="s">
        <v>814</v>
      </c>
      <c r="H31" s="545">
        <f>IF(H28=0,0,ROUND(H22/H28,6))</f>
        <v>60.650602999999997</v>
      </c>
      <c r="I31" s="247" t="s">
        <v>815</v>
      </c>
      <c r="N31" s="251"/>
      <c r="O31" s="251"/>
      <c r="P31" s="251"/>
    </row>
    <row r="32" spans="1:16">
      <c r="A32" s="241">
        <f t="shared" si="2"/>
        <v>22</v>
      </c>
      <c r="B32" s="252"/>
      <c r="C32" s="240" t="s">
        <v>811</v>
      </c>
      <c r="F32" s="254" t="s">
        <v>832</v>
      </c>
      <c r="H32" s="403">
        <f>H29*H31</f>
        <v>-1262611.7419957321</v>
      </c>
      <c r="I32" s="247"/>
      <c r="N32" s="253"/>
      <c r="O32" s="253"/>
      <c r="P32" s="253"/>
    </row>
    <row r="33" spans="1:16">
      <c r="A33" s="241">
        <f t="shared" si="2"/>
        <v>23</v>
      </c>
      <c r="C33" s="240"/>
      <c r="F33" s="254"/>
      <c r="H33" s="542"/>
      <c r="I33" s="247"/>
      <c r="N33" s="766"/>
      <c r="O33" s="766"/>
      <c r="P33" s="766"/>
    </row>
    <row r="34" spans="1:16">
      <c r="B34" s="243" t="s">
        <v>1034</v>
      </c>
      <c r="C34" s="240"/>
      <c r="F34" s="254"/>
      <c r="H34" s="542"/>
      <c r="I34" s="247"/>
      <c r="N34" s="766"/>
      <c r="O34" s="766"/>
      <c r="P34" s="766"/>
    </row>
    <row r="35" spans="1:16">
      <c r="A35" s="241" t="s">
        <v>375</v>
      </c>
      <c r="C35" s="240" t="s">
        <v>1036</v>
      </c>
      <c r="F35" s="254"/>
      <c r="H35" s="436">
        <v>0</v>
      </c>
      <c r="I35" s="247"/>
      <c r="J35" s="421"/>
      <c r="N35" s="766"/>
      <c r="O35" s="766"/>
      <c r="P35" s="766"/>
    </row>
    <row r="36" spans="1:16">
      <c r="C36" s="240"/>
      <c r="F36" s="254"/>
      <c r="H36" s="542"/>
      <c r="I36" s="247"/>
      <c r="N36" s="766"/>
      <c r="O36" s="766"/>
      <c r="P36" s="766"/>
    </row>
    <row r="37" spans="1:16">
      <c r="A37" s="241">
        <f>A33+1</f>
        <v>24</v>
      </c>
      <c r="B37" s="240" t="s">
        <v>959</v>
      </c>
      <c r="C37" s="240"/>
      <c r="D37" s="244"/>
      <c r="E37" s="241"/>
      <c r="F37" s="247" t="s">
        <v>1035</v>
      </c>
      <c r="G37" s="247"/>
      <c r="H37" s="546">
        <f>H23+H32+H35</f>
        <v>-3697741.0653222715</v>
      </c>
      <c r="I37" s="247"/>
      <c r="J37" s="247"/>
      <c r="K37" s="247"/>
      <c r="L37" s="247"/>
    </row>
    <row r="38" spans="1:16">
      <c r="C38" s="240"/>
      <c r="D38" s="244"/>
      <c r="E38" s="241"/>
      <c r="F38" s="247"/>
      <c r="G38" s="247"/>
      <c r="H38" s="247"/>
      <c r="I38" s="247"/>
      <c r="J38" s="247"/>
      <c r="K38" s="247"/>
      <c r="L38" s="247"/>
    </row>
    <row r="39" spans="1:16">
      <c r="B39" s="243" t="s">
        <v>287</v>
      </c>
      <c r="D39" s="244"/>
      <c r="E39" s="241"/>
      <c r="F39" s="247"/>
      <c r="G39" s="247"/>
      <c r="H39" s="247"/>
      <c r="I39" s="247"/>
      <c r="J39" s="247"/>
      <c r="K39" s="247"/>
      <c r="L39" s="247"/>
    </row>
    <row r="40" spans="1:16" ht="14.25" customHeight="1">
      <c r="D40" s="255" t="s">
        <v>288</v>
      </c>
      <c r="E40" s="256"/>
      <c r="F40" s="257"/>
      <c r="G40" s="247"/>
      <c r="H40" s="258" t="s">
        <v>289</v>
      </c>
      <c r="I40" s="247"/>
      <c r="J40" s="247"/>
      <c r="K40" s="247"/>
      <c r="L40" s="247"/>
    </row>
    <row r="41" spans="1:16">
      <c r="A41" s="241">
        <f>A37+1</f>
        <v>25</v>
      </c>
      <c r="D41" s="244" t="s">
        <v>290</v>
      </c>
      <c r="E41" s="241"/>
      <c r="F41" s="247"/>
      <c r="H41" s="73">
        <v>936878</v>
      </c>
      <c r="I41" s="259"/>
      <c r="J41" s="421"/>
      <c r="K41" s="259"/>
      <c r="L41" s="247"/>
    </row>
    <row r="42" spans="1:16">
      <c r="A42" s="241">
        <f>A41+1</f>
        <v>26</v>
      </c>
      <c r="D42" s="244" t="s">
        <v>291</v>
      </c>
      <c r="E42" s="241"/>
      <c r="F42" s="247"/>
      <c r="H42" s="73">
        <v>5321473358</v>
      </c>
      <c r="I42" s="259"/>
      <c r="J42" s="421"/>
      <c r="K42" s="259"/>
      <c r="L42" s="247"/>
    </row>
    <row r="43" spans="1:16">
      <c r="A43" s="241">
        <f>A42+1</f>
        <v>27</v>
      </c>
      <c r="D43" s="244" t="s">
        <v>292</v>
      </c>
      <c r="E43" s="241"/>
      <c r="F43" s="247"/>
      <c r="H43" s="73">
        <v>732</v>
      </c>
      <c r="I43" s="259"/>
      <c r="J43" s="421"/>
      <c r="K43" s="259"/>
      <c r="L43" s="247"/>
    </row>
    <row r="44" spans="1:16">
      <c r="A44" s="241">
        <f>A43+1</f>
        <v>28</v>
      </c>
      <c r="D44" s="244" t="s">
        <v>293</v>
      </c>
      <c r="E44" s="241"/>
      <c r="F44" s="240" t="s">
        <v>833</v>
      </c>
      <c r="H44" s="260">
        <f>IF(H42*H43=0,0,H41/H42*H43/2)</f>
        <v>6.4436543214955247E-2</v>
      </c>
      <c r="I44" s="247"/>
      <c r="J44" s="247"/>
      <c r="K44" s="247"/>
      <c r="L44" s="247"/>
    </row>
    <row r="45" spans="1:16">
      <c r="D45" s="244"/>
      <c r="E45" s="241"/>
      <c r="F45" s="247"/>
      <c r="H45" s="261"/>
      <c r="I45" s="247"/>
      <c r="J45" s="247"/>
      <c r="K45" s="247"/>
      <c r="L45" s="247"/>
    </row>
    <row r="46" spans="1:16">
      <c r="D46" s="255" t="s">
        <v>553</v>
      </c>
      <c r="E46" s="262"/>
      <c r="F46" s="257"/>
      <c r="H46" s="263"/>
      <c r="J46" s="263"/>
      <c r="K46" s="247"/>
      <c r="L46" s="247"/>
    </row>
    <row r="47" spans="1:16">
      <c r="A47" s="241">
        <f>A44+1</f>
        <v>29</v>
      </c>
      <c r="D47" s="244" t="s">
        <v>294</v>
      </c>
      <c r="F47" s="247"/>
      <c r="H47" s="264">
        <v>8.0199999999999994E-2</v>
      </c>
      <c r="J47" s="421"/>
      <c r="K47" s="259"/>
      <c r="L47" s="247"/>
    </row>
    <row r="48" spans="1:16">
      <c r="A48" s="241">
        <f t="shared" ref="A48:A51" si="3">A47+1</f>
        <v>30</v>
      </c>
      <c r="D48" s="244" t="s">
        <v>295</v>
      </c>
      <c r="F48" s="247"/>
      <c r="H48" s="264">
        <v>8.3500000000000005E-2</v>
      </c>
      <c r="J48" s="421"/>
      <c r="K48" s="247"/>
      <c r="L48" s="247"/>
    </row>
    <row r="49" spans="1:13">
      <c r="A49" s="241">
        <f t="shared" si="3"/>
        <v>31</v>
      </c>
      <c r="D49" s="244" t="s">
        <v>296</v>
      </c>
      <c r="F49" s="247"/>
      <c r="H49" s="264">
        <v>8.5000000000000006E-2</v>
      </c>
      <c r="J49" s="421"/>
      <c r="K49" s="247"/>
      <c r="L49" s="247"/>
    </row>
    <row r="50" spans="1:13">
      <c r="A50" s="241">
        <f t="shared" si="3"/>
        <v>32</v>
      </c>
      <c r="D50" s="244" t="s">
        <v>297</v>
      </c>
      <c r="F50" s="247"/>
      <c r="H50" s="264">
        <v>8.5000000000000006E-2</v>
      </c>
      <c r="J50" s="421"/>
      <c r="K50" s="247"/>
      <c r="L50" s="247"/>
    </row>
    <row r="51" spans="1:13" ht="15.6">
      <c r="A51" s="241">
        <f t="shared" si="3"/>
        <v>33</v>
      </c>
      <c r="D51" s="244" t="s">
        <v>298</v>
      </c>
      <c r="E51" s="247"/>
      <c r="F51" s="247" t="s">
        <v>816</v>
      </c>
      <c r="H51" s="265">
        <f>IF(SUM(H47:H50)=0,0,AVERAGE(H47:H50))</f>
        <v>8.3425000000000013E-2</v>
      </c>
      <c r="J51" s="767"/>
      <c r="K51" s="768"/>
      <c r="L51" s="768"/>
      <c r="M51" s="768"/>
    </row>
    <row r="52" spans="1:13">
      <c r="D52" s="244"/>
      <c r="E52" s="247"/>
      <c r="F52" s="247"/>
      <c r="H52" s="266"/>
      <c r="J52" s="767"/>
      <c r="K52" s="247"/>
      <c r="L52" s="247"/>
    </row>
    <row r="53" spans="1:13">
      <c r="A53" s="241">
        <f>A51+1</f>
        <v>34</v>
      </c>
      <c r="D53" s="244" t="s">
        <v>299</v>
      </c>
      <c r="E53" s="247"/>
      <c r="F53" s="247"/>
      <c r="H53" s="267">
        <f>IF(H23&lt;=0,$H51,MIN($H51,$H44))</f>
        <v>8.3425000000000013E-2</v>
      </c>
      <c r="J53" s="767"/>
      <c r="K53" s="247"/>
      <c r="L53" s="247"/>
    </row>
    <row r="54" spans="1:13">
      <c r="D54" s="244"/>
      <c r="E54" s="247"/>
      <c r="F54" s="247"/>
      <c r="H54" s="267"/>
      <c r="I54" s="247"/>
      <c r="J54" s="247"/>
      <c r="K54" s="247"/>
      <c r="L54" s="247"/>
    </row>
    <row r="55" spans="1:13" ht="15.75" customHeight="1" thickBot="1">
      <c r="D55" s="247"/>
      <c r="E55" s="247"/>
      <c r="F55" s="247"/>
      <c r="H55" s="248" t="s">
        <v>300</v>
      </c>
      <c r="J55" s="767"/>
      <c r="K55" s="247"/>
      <c r="L55" s="247"/>
    </row>
    <row r="56" spans="1:13">
      <c r="A56" s="241">
        <f>A53+1</f>
        <v>35</v>
      </c>
      <c r="C56" s="240"/>
      <c r="D56" s="240" t="s">
        <v>960</v>
      </c>
      <c r="H56" s="268">
        <f>ROUND(+H37*12/12,0)</f>
        <v>-3697741</v>
      </c>
      <c r="J56" s="767"/>
      <c r="K56" s="247"/>
    </row>
    <row r="57" spans="1:13">
      <c r="A57" s="241">
        <f>A56+1</f>
        <v>36</v>
      </c>
      <c r="C57" s="240"/>
      <c r="D57" s="240" t="s">
        <v>783</v>
      </c>
      <c r="H57" s="269">
        <f>ROUND(H$53/12*(24)*H56,2)</f>
        <v>-616968.09</v>
      </c>
      <c r="I57" s="247"/>
      <c r="J57" s="247"/>
      <c r="K57" s="247"/>
    </row>
    <row r="58" spans="1:13">
      <c r="A58" s="241">
        <f>A57+1</f>
        <v>37</v>
      </c>
      <c r="C58" s="250"/>
      <c r="D58" s="243" t="s">
        <v>961</v>
      </c>
      <c r="E58" s="244"/>
      <c r="G58" s="241"/>
      <c r="H58" s="450">
        <f>SUM(H56:H57)</f>
        <v>-4314709.09</v>
      </c>
      <c r="I58" s="247"/>
      <c r="J58" s="247"/>
      <c r="K58" s="247"/>
    </row>
    <row r="59" spans="1:13">
      <c r="C59" s="250"/>
      <c r="D59" s="241"/>
      <c r="E59" s="244"/>
      <c r="G59" s="241"/>
      <c r="H59" s="270"/>
      <c r="I59" s="244"/>
      <c r="J59" s="270"/>
    </row>
    <row r="60" spans="1:13">
      <c r="A60" s="241" t="s">
        <v>205</v>
      </c>
    </row>
    <row r="61" spans="1:13" s="684" customFormat="1" ht="15.75" customHeight="1">
      <c r="A61" s="271" t="s">
        <v>79</v>
      </c>
      <c r="B61" s="816" t="s">
        <v>447</v>
      </c>
      <c r="C61" s="816"/>
      <c r="D61" s="816"/>
      <c r="E61" s="816"/>
      <c r="F61" s="816"/>
      <c r="G61" s="816"/>
      <c r="H61" s="816"/>
    </row>
    <row r="62" spans="1:13" s="684" customFormat="1">
      <c r="A62" s="271" t="s">
        <v>80</v>
      </c>
      <c r="B62" s="816" t="s">
        <v>448</v>
      </c>
      <c r="C62" s="816"/>
      <c r="D62" s="816"/>
      <c r="E62" s="816"/>
      <c r="F62" s="816"/>
      <c r="G62" s="816"/>
      <c r="H62" s="816"/>
    </row>
    <row r="63" spans="1:13" s="684" customFormat="1">
      <c r="A63" s="271" t="s">
        <v>81</v>
      </c>
      <c r="B63" s="816" t="s">
        <v>301</v>
      </c>
      <c r="C63" s="816"/>
      <c r="D63" s="816"/>
      <c r="E63" s="816"/>
      <c r="F63" s="816"/>
      <c r="G63" s="816"/>
      <c r="H63" s="816"/>
    </row>
    <row r="64" spans="1:13" s="684" customFormat="1" ht="27" customHeight="1">
      <c r="A64" s="271" t="s">
        <v>82</v>
      </c>
      <c r="B64" s="815" t="s">
        <v>957</v>
      </c>
      <c r="C64" s="815"/>
      <c r="D64" s="815"/>
      <c r="E64" s="815"/>
      <c r="F64" s="815"/>
      <c r="G64" s="815"/>
      <c r="H64" s="815"/>
    </row>
    <row r="65" spans="1:8" s="684" customFormat="1" ht="14.25" customHeight="1">
      <c r="A65" s="271" t="s">
        <v>83</v>
      </c>
      <c r="B65" s="816" t="s">
        <v>302</v>
      </c>
      <c r="C65" s="816"/>
      <c r="D65" s="816"/>
      <c r="E65" s="816"/>
      <c r="F65" s="816"/>
      <c r="G65" s="816"/>
      <c r="H65" s="816"/>
    </row>
    <row r="66" spans="1:8" s="684" customFormat="1" ht="108.75" customHeight="1">
      <c r="A66" s="271" t="s">
        <v>84</v>
      </c>
      <c r="B66" s="815" t="s">
        <v>1081</v>
      </c>
      <c r="C66" s="815"/>
      <c r="D66" s="815"/>
      <c r="E66" s="815"/>
      <c r="F66" s="815"/>
      <c r="G66" s="815"/>
      <c r="H66" s="815"/>
    </row>
    <row r="67" spans="1:8">
      <c r="B67" s="240"/>
    </row>
    <row r="117" spans="3:7" ht="15.6">
      <c r="C117" s="272"/>
      <c r="D117" s="273"/>
      <c r="E117" s="273"/>
      <c r="F117" s="273"/>
      <c r="G117" s="273"/>
    </row>
    <row r="118" spans="3:7" ht="99.75" customHeight="1">
      <c r="C118" s="272"/>
      <c r="D118" s="273"/>
      <c r="E118" s="273"/>
      <c r="F118" s="273"/>
      <c r="G118" s="273"/>
    </row>
    <row r="119" spans="3:7" ht="15.6">
      <c r="C119" s="272"/>
      <c r="D119" s="273"/>
      <c r="E119" s="273"/>
      <c r="F119" s="273"/>
      <c r="G119" s="273"/>
    </row>
    <row r="120" spans="3:7" ht="15.6">
      <c r="C120" s="272"/>
      <c r="D120" s="273"/>
      <c r="E120" s="273"/>
      <c r="F120" s="273"/>
      <c r="G120" s="273"/>
    </row>
    <row r="121" spans="3:7" ht="15.6">
      <c r="C121" s="272"/>
      <c r="D121" s="273"/>
      <c r="E121" s="273"/>
      <c r="F121" s="273"/>
      <c r="G121" s="273"/>
    </row>
    <row r="122" spans="3:7" ht="15.6">
      <c r="C122" s="272"/>
      <c r="D122" s="273"/>
      <c r="E122" s="273"/>
      <c r="F122" s="273"/>
      <c r="G122" s="273"/>
    </row>
    <row r="123" spans="3:7" ht="15.6">
      <c r="C123" s="272"/>
      <c r="D123" s="273"/>
      <c r="E123" s="273"/>
      <c r="F123" s="273"/>
      <c r="G123" s="273"/>
    </row>
    <row r="124" spans="3:7" ht="15.6">
      <c r="C124" s="272"/>
      <c r="D124" s="273"/>
      <c r="E124" s="273"/>
      <c r="F124" s="273"/>
      <c r="G124" s="273"/>
    </row>
    <row r="125" spans="3:7" ht="15.6">
      <c r="C125" s="272"/>
      <c r="D125" s="273"/>
      <c r="E125" s="273"/>
      <c r="F125" s="273"/>
      <c r="G125" s="273"/>
    </row>
    <row r="126" spans="3:7" ht="15.6">
      <c r="C126" s="272"/>
      <c r="D126" s="273"/>
      <c r="E126" s="273"/>
      <c r="F126" s="273"/>
      <c r="G126" s="273"/>
    </row>
    <row r="127" spans="3:7" ht="15.6">
      <c r="C127" s="272"/>
      <c r="D127" s="273"/>
      <c r="E127" s="273"/>
      <c r="F127" s="273"/>
      <c r="G127" s="273"/>
    </row>
    <row r="128" spans="3:7" ht="15.6">
      <c r="C128" s="272"/>
      <c r="D128" s="273"/>
      <c r="E128" s="273"/>
      <c r="F128" s="273"/>
      <c r="G128" s="273"/>
    </row>
    <row r="129" spans="3:7" ht="15.6">
      <c r="C129" s="272"/>
      <c r="D129" s="273"/>
      <c r="E129" s="273"/>
      <c r="F129" s="273"/>
      <c r="G129" s="273"/>
    </row>
    <row r="130" spans="3:7" ht="15.6">
      <c r="C130" s="272"/>
      <c r="D130" s="273"/>
      <c r="E130" s="273"/>
      <c r="F130" s="273"/>
      <c r="G130" s="273"/>
    </row>
    <row r="131" spans="3:7" ht="15.6">
      <c r="C131" s="272"/>
      <c r="D131" s="273"/>
      <c r="E131" s="273"/>
      <c r="F131" s="273"/>
      <c r="G131" s="273"/>
    </row>
    <row r="132" spans="3:7" ht="15.6">
      <c r="C132" s="272"/>
      <c r="D132" s="273"/>
      <c r="E132" s="273"/>
      <c r="F132" s="273"/>
      <c r="G132" s="273"/>
    </row>
    <row r="133" spans="3:7" ht="15.6">
      <c r="C133" s="272"/>
      <c r="D133" s="273"/>
      <c r="E133" s="273"/>
      <c r="F133" s="273"/>
      <c r="G133" s="273"/>
    </row>
    <row r="134" spans="3:7" ht="15.6">
      <c r="C134" s="272"/>
      <c r="D134" s="273"/>
      <c r="E134" s="273"/>
      <c r="F134" s="273"/>
      <c r="G134" s="273"/>
    </row>
    <row r="135" spans="3:7" ht="15.6">
      <c r="C135" s="272"/>
      <c r="D135" s="273"/>
      <c r="E135" s="273"/>
      <c r="F135" s="273"/>
      <c r="G135" s="273"/>
    </row>
    <row r="136" spans="3:7" ht="15.6">
      <c r="C136" s="272"/>
      <c r="D136" s="273"/>
      <c r="E136" s="273"/>
      <c r="F136" s="273"/>
      <c r="G136" s="273"/>
    </row>
    <row r="137" spans="3:7" ht="15.6">
      <c r="C137" s="272"/>
      <c r="D137" s="273"/>
      <c r="E137" s="273"/>
      <c r="F137" s="273"/>
      <c r="G137" s="273"/>
    </row>
    <row r="138" spans="3:7" ht="15.6">
      <c r="C138" s="272"/>
      <c r="D138" s="273"/>
      <c r="E138" s="273"/>
      <c r="F138" s="273"/>
      <c r="G138" s="273"/>
    </row>
    <row r="139" spans="3:7" ht="40.5" customHeight="1">
      <c r="C139" s="272"/>
      <c r="D139" s="273"/>
      <c r="E139" s="273"/>
      <c r="F139" s="273"/>
      <c r="G139" s="273"/>
    </row>
    <row r="140" spans="3:7" ht="15.6">
      <c r="C140" s="272"/>
      <c r="D140" s="273"/>
      <c r="E140" s="273"/>
      <c r="F140" s="273"/>
      <c r="G140" s="273"/>
    </row>
  </sheetData>
  <mergeCells count="10">
    <mergeCell ref="J1:P1"/>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72"/>
  <sheetViews>
    <sheetView tabSelected="1" workbookViewId="0">
      <selection activeCell="A258" sqref="A258"/>
    </sheetView>
  </sheetViews>
  <sheetFormatPr defaultColWidth="8.81640625" defaultRowHeight="13.2"/>
  <cols>
    <col min="1" max="1" width="4.1796875" style="103" customWidth="1"/>
    <col min="2" max="2" width="47.81640625" style="103" customWidth="1"/>
    <col min="3" max="3" width="39.08984375" style="103" customWidth="1"/>
    <col min="4" max="4" width="11.1796875" style="103" bestFit="1" customWidth="1"/>
    <col min="5" max="5" width="4.08984375" style="103" customWidth="1"/>
    <col min="6" max="6" width="3.1796875" style="103" customWidth="1"/>
    <col min="7" max="7" width="6.453125" style="103" customWidth="1"/>
    <col min="8" max="8" width="3.81640625" style="103" bestFit="1" customWidth="1"/>
    <col min="9" max="9" width="12.453125" style="103" customWidth="1"/>
    <col min="10" max="10" width="1.453125" style="103" customWidth="1"/>
    <col min="11" max="11" width="6.81640625" style="103" customWidth="1"/>
    <col min="12" max="12" width="8.81640625" style="103"/>
    <col min="13" max="14" width="10.81640625" style="103" customWidth="1"/>
    <col min="15" max="16" width="8.81640625" style="103"/>
    <col min="17" max="17" width="10.1796875" style="103" customWidth="1"/>
    <col min="18" max="18" width="8.81640625" style="103"/>
    <col min="19" max="19" width="10.1796875" style="103" customWidth="1"/>
    <col min="20" max="16384" width="8.81640625" style="103"/>
  </cols>
  <sheetData>
    <row r="1" spans="1:11">
      <c r="B1" s="71"/>
      <c r="C1" s="71"/>
      <c r="D1" s="104"/>
      <c r="E1" s="71"/>
      <c r="F1" s="71"/>
      <c r="G1" s="71"/>
      <c r="H1" s="71"/>
      <c r="I1" s="776" t="s">
        <v>480</v>
      </c>
      <c r="J1" s="776"/>
      <c r="K1" s="776"/>
    </row>
    <row r="2" spans="1:11">
      <c r="B2" s="71"/>
      <c r="C2" s="71"/>
      <c r="D2" s="104"/>
      <c r="E2" s="71"/>
      <c r="F2" s="71"/>
      <c r="G2" s="71"/>
      <c r="H2" s="71"/>
      <c r="I2" s="71"/>
      <c r="J2" s="775" t="s">
        <v>241</v>
      </c>
      <c r="K2" s="775"/>
    </row>
    <row r="3" spans="1:11">
      <c r="B3" s="71"/>
      <c r="C3" s="71"/>
      <c r="D3" s="104"/>
      <c r="E3" s="71"/>
      <c r="F3" s="71"/>
      <c r="G3" s="71"/>
      <c r="H3" s="71"/>
      <c r="I3" s="71"/>
      <c r="J3" s="71"/>
      <c r="K3" s="105"/>
    </row>
    <row r="4" spans="1:11">
      <c r="B4" s="104" t="s">
        <v>0</v>
      </c>
      <c r="C4" s="78" t="s">
        <v>122</v>
      </c>
      <c r="E4" s="71"/>
      <c r="F4" s="71"/>
      <c r="G4" s="71"/>
      <c r="H4" s="71"/>
      <c r="I4" s="71"/>
      <c r="J4" s="71"/>
      <c r="K4" s="106" t="s">
        <v>1240</v>
      </c>
    </row>
    <row r="5" spans="1:11">
      <c r="B5" s="71"/>
      <c r="C5" s="108" t="s">
        <v>123</v>
      </c>
      <c r="E5" s="107"/>
      <c r="F5" s="107"/>
      <c r="G5" s="107"/>
      <c r="H5" s="71"/>
      <c r="I5" s="71"/>
      <c r="J5" s="71"/>
      <c r="K5" s="71"/>
    </row>
    <row r="6" spans="1:11">
      <c r="B6" s="71"/>
      <c r="C6" s="107"/>
      <c r="D6" s="107"/>
      <c r="E6" s="107"/>
      <c r="F6" s="107"/>
      <c r="G6" s="107"/>
      <c r="H6" s="71"/>
      <c r="I6" s="71"/>
      <c r="J6" s="71"/>
      <c r="K6" s="71"/>
    </row>
    <row r="7" spans="1:11">
      <c r="B7" s="71"/>
      <c r="C7" s="109" t="s">
        <v>130</v>
      </c>
      <c r="E7" s="107"/>
      <c r="F7" s="107"/>
      <c r="G7" s="107"/>
      <c r="H7" s="107"/>
      <c r="I7" s="107"/>
      <c r="J7" s="107"/>
      <c r="K7" s="107"/>
    </row>
    <row r="8" spans="1:11">
      <c r="A8" s="78" t="s">
        <v>4</v>
      </c>
      <c r="B8" s="71"/>
      <c r="C8" s="71"/>
      <c r="D8" s="110"/>
      <c r="E8" s="71"/>
      <c r="F8" s="71"/>
      <c r="G8" s="71"/>
      <c r="H8" s="71"/>
      <c r="I8" s="78" t="s">
        <v>5</v>
      </c>
      <c r="J8" s="71"/>
      <c r="K8" s="71"/>
    </row>
    <row r="9" spans="1:11" ht="13.8" thickBot="1">
      <c r="A9" s="111" t="s">
        <v>6</v>
      </c>
      <c r="B9" s="71"/>
      <c r="C9" s="71"/>
      <c r="D9" s="71"/>
      <c r="E9" s="71"/>
      <c r="F9" s="71"/>
      <c r="G9" s="71"/>
      <c r="H9" s="71"/>
      <c r="I9" s="111" t="s">
        <v>7</v>
      </c>
      <c r="J9" s="71"/>
      <c r="K9" s="71"/>
    </row>
    <row r="10" spans="1:11">
      <c r="A10" s="78">
        <v>1</v>
      </c>
      <c r="B10" s="71" t="s">
        <v>962</v>
      </c>
      <c r="C10" s="71"/>
      <c r="D10" s="107"/>
      <c r="E10" s="71"/>
      <c r="F10" s="71"/>
      <c r="G10" s="71"/>
      <c r="H10" s="71"/>
      <c r="I10" s="112">
        <f>'Proj Att-H'!I151</f>
        <v>24682967.92124017</v>
      </c>
      <c r="J10" s="71"/>
      <c r="K10" s="71"/>
    </row>
    <row r="11" spans="1:11">
      <c r="A11" s="78"/>
      <c r="B11" s="71"/>
      <c r="C11" s="71"/>
      <c r="D11" s="71"/>
      <c r="E11" s="71"/>
      <c r="F11" s="71"/>
      <c r="G11" s="71"/>
      <c r="H11" s="71"/>
      <c r="I11" s="107"/>
      <c r="J11" s="71"/>
      <c r="K11" s="71"/>
    </row>
    <row r="12" spans="1:11" ht="13.8" thickBot="1">
      <c r="A12" s="78" t="s">
        <v>2</v>
      </c>
      <c r="B12" s="71" t="s">
        <v>8</v>
      </c>
      <c r="C12" s="107"/>
      <c r="D12" s="111" t="s">
        <v>9</v>
      </c>
      <c r="E12" s="107"/>
      <c r="F12" s="113" t="s">
        <v>10</v>
      </c>
      <c r="G12" s="113"/>
      <c r="H12" s="71"/>
      <c r="I12" s="107"/>
      <c r="J12" s="71"/>
      <c r="K12" s="71"/>
    </row>
    <row r="13" spans="1:11">
      <c r="A13" s="78">
        <v>2</v>
      </c>
      <c r="B13" s="71" t="s">
        <v>12</v>
      </c>
      <c r="C13" s="107" t="s">
        <v>906</v>
      </c>
      <c r="D13" s="174">
        <f>'Act Att-H'!D13</f>
        <v>94761.107105105068</v>
      </c>
      <c r="E13" s="107"/>
      <c r="F13" s="107"/>
      <c r="G13" s="114">
        <v>1</v>
      </c>
      <c r="H13" s="107"/>
      <c r="I13" s="63">
        <f>+G13*D13</f>
        <v>94761.107105105068</v>
      </c>
      <c r="J13" s="71"/>
      <c r="K13" s="71"/>
    </row>
    <row r="14" spans="1:11">
      <c r="A14" s="78">
        <v>3</v>
      </c>
      <c r="B14" s="71" t="s">
        <v>110</v>
      </c>
      <c r="C14" s="107" t="s">
        <v>907</v>
      </c>
      <c r="D14" s="174">
        <f>'Act Att-H'!D14</f>
        <v>1625</v>
      </c>
      <c r="E14" s="107"/>
      <c r="F14" s="115"/>
      <c r="G14" s="114">
        <v>1</v>
      </c>
      <c r="H14" s="107"/>
      <c r="I14" s="63">
        <f>+G14*D14</f>
        <v>1625</v>
      </c>
      <c r="J14" s="71"/>
      <c r="K14" s="71"/>
    </row>
    <row r="15" spans="1:11">
      <c r="A15" s="78">
        <v>4</v>
      </c>
      <c r="B15" s="2" t="s">
        <v>569</v>
      </c>
      <c r="C15" s="2"/>
      <c r="D15" s="177"/>
      <c r="E15" s="107"/>
      <c r="F15" s="115"/>
      <c r="G15" s="178"/>
      <c r="H15" s="107"/>
      <c r="I15" s="63"/>
      <c r="J15" s="71"/>
      <c r="K15" s="71"/>
    </row>
    <row r="16" spans="1:11" ht="13.8" thickBot="1">
      <c r="A16" s="78">
        <v>5</v>
      </c>
      <c r="B16" s="2" t="s">
        <v>569</v>
      </c>
      <c r="C16" s="2"/>
      <c r="D16" s="177"/>
      <c r="E16" s="107"/>
      <c r="F16" s="115"/>
      <c r="G16" s="178"/>
      <c r="H16" s="107"/>
      <c r="I16" s="64"/>
      <c r="J16" s="71"/>
      <c r="K16" s="71"/>
    </row>
    <row r="17" spans="1:11">
      <c r="A17" s="78">
        <v>6</v>
      </c>
      <c r="B17" s="71" t="s">
        <v>91</v>
      </c>
      <c r="C17" s="71"/>
      <c r="D17" s="117" t="s">
        <v>2</v>
      </c>
      <c r="E17" s="107"/>
      <c r="F17" s="107"/>
      <c r="G17" s="118"/>
      <c r="H17" s="107"/>
      <c r="I17" s="63">
        <f>SUM(I13:I16)</f>
        <v>96386.107105105068</v>
      </c>
      <c r="J17" s="71"/>
      <c r="K17" s="71"/>
    </row>
    <row r="18" spans="1:11">
      <c r="A18" s="78"/>
      <c r="B18" s="71"/>
      <c r="C18" s="71"/>
      <c r="I18" s="63"/>
      <c r="J18" s="71"/>
      <c r="K18" s="71"/>
    </row>
    <row r="19" spans="1:11">
      <c r="A19" s="78" t="s">
        <v>126</v>
      </c>
      <c r="B19" s="71" t="s">
        <v>155</v>
      </c>
      <c r="C19" s="71" t="s">
        <v>909</v>
      </c>
      <c r="I19" s="174">
        <f>'TU-TrueUp'!H58</f>
        <v>-4314709.09</v>
      </c>
      <c r="J19" s="71"/>
      <c r="K19" s="71"/>
    </row>
    <row r="20" spans="1:11">
      <c r="A20" s="78"/>
      <c r="B20" s="71"/>
      <c r="C20" s="71"/>
      <c r="I20" s="107"/>
      <c r="J20" s="71"/>
      <c r="K20" s="71"/>
    </row>
    <row r="21" spans="1:11" ht="13.8" thickBot="1">
      <c r="A21" s="78">
        <v>7</v>
      </c>
      <c r="B21" s="71" t="s">
        <v>13</v>
      </c>
      <c r="C21" s="71" t="s">
        <v>156</v>
      </c>
      <c r="D21" s="117"/>
      <c r="E21" s="107"/>
      <c r="F21" s="107"/>
      <c r="G21" s="107"/>
      <c r="H21" s="107"/>
      <c r="I21" s="119">
        <f>I10-I17+I19</f>
        <v>20271872.724135064</v>
      </c>
      <c r="J21" s="71"/>
      <c r="K21" s="71"/>
    </row>
    <row r="22" spans="1:11" ht="13.8" thickTop="1">
      <c r="A22" s="78"/>
      <c r="B22" s="71"/>
      <c r="C22" s="71"/>
      <c r="D22" s="117"/>
      <c r="E22" s="107"/>
      <c r="F22" s="107"/>
      <c r="G22" s="107"/>
      <c r="H22" s="107"/>
      <c r="I22" s="424"/>
      <c r="J22" s="71"/>
      <c r="K22" s="71"/>
    </row>
    <row r="23" spans="1:11">
      <c r="A23" s="78" t="s">
        <v>765</v>
      </c>
      <c r="B23" s="71" t="s">
        <v>766</v>
      </c>
      <c r="C23" s="71" t="s">
        <v>767</v>
      </c>
      <c r="D23" s="117"/>
      <c r="E23" s="107"/>
      <c r="F23" s="107"/>
      <c r="G23" s="107"/>
      <c r="H23" s="107"/>
      <c r="I23" s="120">
        <f>I21-I19</f>
        <v>24586581.814135063</v>
      </c>
      <c r="J23" s="71"/>
      <c r="K23" s="71"/>
    </row>
    <row r="24" spans="1:11">
      <c r="A24" s="78"/>
      <c r="C24" s="71"/>
      <c r="D24" s="117"/>
      <c r="E24" s="107"/>
      <c r="F24" s="107"/>
      <c r="G24" s="107"/>
      <c r="H24" s="107"/>
      <c r="J24" s="71"/>
      <c r="K24" s="71"/>
    </row>
    <row r="25" spans="1:11">
      <c r="A25" s="78"/>
      <c r="B25" s="71" t="s">
        <v>14</v>
      </c>
      <c r="C25" s="71"/>
      <c r="D25" s="107"/>
      <c r="E25" s="71"/>
      <c r="F25" s="71"/>
      <c r="G25" s="71"/>
      <c r="H25" s="71"/>
      <c r="I25" s="107"/>
      <c r="J25" s="71"/>
      <c r="K25" s="71"/>
    </row>
    <row r="26" spans="1:11">
      <c r="A26" s="78">
        <v>8</v>
      </c>
      <c r="B26" s="71" t="s">
        <v>255</v>
      </c>
      <c r="C26" s="103" t="s">
        <v>908</v>
      </c>
      <c r="D26" s="107"/>
      <c r="E26" s="71"/>
      <c r="F26" s="71"/>
      <c r="G26" s="71"/>
      <c r="H26" s="71"/>
      <c r="I26" s="174">
        <f>'P3-Divisor'!G24</f>
        <v>308449.60035523982</v>
      </c>
      <c r="J26" s="71"/>
      <c r="K26" s="71"/>
    </row>
    <row r="27" spans="1:11">
      <c r="A27" s="78">
        <v>9</v>
      </c>
      <c r="B27" s="71"/>
      <c r="C27" s="107"/>
      <c r="D27" s="107"/>
      <c r="E27" s="107"/>
      <c r="F27" s="107"/>
      <c r="G27" s="107"/>
      <c r="H27" s="107"/>
      <c r="I27" s="107"/>
      <c r="J27" s="71"/>
      <c r="K27" s="71"/>
    </row>
    <row r="28" spans="1:11">
      <c r="A28" s="78">
        <v>10</v>
      </c>
      <c r="B28" s="107" t="s">
        <v>254</v>
      </c>
      <c r="C28" s="107"/>
      <c r="D28" s="107"/>
      <c r="E28" s="107"/>
      <c r="F28" s="107"/>
      <c r="G28" s="107"/>
      <c r="H28" s="107"/>
      <c r="I28" s="107"/>
      <c r="J28" s="107"/>
      <c r="K28" s="71"/>
    </row>
    <row r="29" spans="1:11">
      <c r="A29" s="78">
        <v>11</v>
      </c>
      <c r="B29" s="71" t="s">
        <v>256</v>
      </c>
      <c r="C29" s="71"/>
      <c r="D29" s="578">
        <f>ROUND(I21/I26,2)</f>
        <v>65.72</v>
      </c>
      <c r="E29" s="71" t="s">
        <v>245</v>
      </c>
      <c r="F29" s="107"/>
      <c r="G29" s="107"/>
      <c r="H29" s="107"/>
      <c r="I29" s="107"/>
      <c r="J29" s="107"/>
      <c r="K29" s="71"/>
    </row>
    <row r="30" spans="1:11">
      <c r="A30" s="78">
        <v>12</v>
      </c>
      <c r="B30" s="71" t="s">
        <v>257</v>
      </c>
      <c r="C30" s="71" t="s">
        <v>788</v>
      </c>
      <c r="D30" s="578">
        <f>ROUND(D29/12,2)</f>
        <v>5.48</v>
      </c>
      <c r="E30" s="71" t="s">
        <v>246</v>
      </c>
      <c r="F30" s="107"/>
      <c r="G30" s="107"/>
      <c r="H30" s="107"/>
      <c r="I30" s="107"/>
      <c r="J30" s="107"/>
      <c r="K30" s="71"/>
    </row>
    <row r="31" spans="1:11">
      <c r="A31" s="78">
        <v>13</v>
      </c>
      <c r="B31" s="71" t="s">
        <v>258</v>
      </c>
      <c r="C31" s="71" t="s">
        <v>789</v>
      </c>
      <c r="D31" s="578">
        <f>ROUND(D29/52,2)</f>
        <v>1.26</v>
      </c>
      <c r="E31" s="71" t="s">
        <v>247</v>
      </c>
      <c r="F31" s="107"/>
      <c r="G31" s="107"/>
      <c r="H31" s="107"/>
      <c r="I31" s="107"/>
      <c r="J31" s="107"/>
      <c r="K31" s="71"/>
    </row>
    <row r="32" spans="1:11">
      <c r="A32" s="78">
        <v>14</v>
      </c>
      <c r="B32" s="71" t="s">
        <v>259</v>
      </c>
      <c r="C32" s="71" t="s">
        <v>248</v>
      </c>
      <c r="D32" s="579">
        <f>+D31/6</f>
        <v>0.21</v>
      </c>
      <c r="E32" s="71" t="s">
        <v>249</v>
      </c>
      <c r="F32" s="107"/>
      <c r="G32" s="107"/>
      <c r="H32" s="107"/>
      <c r="I32" s="107"/>
      <c r="J32" s="107"/>
      <c r="K32" s="71"/>
    </row>
    <row r="33" spans="1:11">
      <c r="A33" s="78">
        <v>15</v>
      </c>
      <c r="B33" s="71" t="s">
        <v>260</v>
      </c>
      <c r="C33" s="71" t="s">
        <v>250</v>
      </c>
      <c r="D33" s="579">
        <f>+D31/7</f>
        <v>0.18</v>
      </c>
      <c r="E33" s="71" t="s">
        <v>249</v>
      </c>
      <c r="F33" s="107"/>
      <c r="G33" s="107"/>
      <c r="H33" s="107"/>
      <c r="I33" s="107"/>
      <c r="J33" s="107"/>
      <c r="K33" s="71"/>
    </row>
    <row r="34" spans="1:11">
      <c r="A34" s="78">
        <v>16</v>
      </c>
      <c r="B34" s="71" t="s">
        <v>261</v>
      </c>
      <c r="C34" s="71" t="s">
        <v>251</v>
      </c>
      <c r="D34" s="578">
        <f>+D32/16*1000</f>
        <v>13.125</v>
      </c>
      <c r="E34" s="71" t="s">
        <v>895</v>
      </c>
      <c r="F34" s="107"/>
      <c r="G34" s="107"/>
      <c r="H34" s="107"/>
      <c r="I34" s="107"/>
      <c r="J34" s="107"/>
      <c r="K34" s="71"/>
    </row>
    <row r="35" spans="1:11">
      <c r="A35" s="78">
        <v>17</v>
      </c>
      <c r="B35" s="71" t="s">
        <v>262</v>
      </c>
      <c r="C35" s="71" t="s">
        <v>252</v>
      </c>
      <c r="D35" s="578">
        <f>+D33/24*1000</f>
        <v>7.5</v>
      </c>
      <c r="E35" s="71" t="s">
        <v>895</v>
      </c>
      <c r="F35" s="107"/>
      <c r="G35" s="107"/>
      <c r="H35" s="107"/>
      <c r="I35" s="107"/>
      <c r="J35" s="107"/>
      <c r="K35" s="71"/>
    </row>
    <row r="36" spans="1:11">
      <c r="B36" s="71"/>
      <c r="C36" s="71"/>
      <c r="D36" s="104"/>
      <c r="E36" s="71"/>
      <c r="F36" s="71"/>
      <c r="G36" s="71"/>
      <c r="H36" s="71"/>
      <c r="I36" s="776" t="str">
        <f>I1</f>
        <v>Projected Attachment H</v>
      </c>
      <c r="J36" s="776"/>
      <c r="K36" s="776"/>
    </row>
    <row r="37" spans="1:11">
      <c r="B37" s="71"/>
      <c r="C37" s="71"/>
      <c r="D37" s="104"/>
      <c r="E37" s="71"/>
      <c r="F37" s="71"/>
      <c r="G37" s="71"/>
      <c r="H37" s="71"/>
      <c r="I37" s="71"/>
      <c r="J37" s="775" t="s">
        <v>242</v>
      </c>
      <c r="K37" s="775"/>
    </row>
    <row r="38" spans="1:11">
      <c r="B38" s="71"/>
      <c r="C38" s="71"/>
      <c r="D38" s="104"/>
      <c r="E38" s="71"/>
      <c r="F38" s="71"/>
      <c r="G38" s="71"/>
      <c r="H38" s="71"/>
      <c r="I38" s="71"/>
      <c r="J38" s="71"/>
      <c r="K38" s="105"/>
    </row>
    <row r="39" spans="1:11">
      <c r="B39" s="104" t="s">
        <v>0</v>
      </c>
      <c r="C39" s="78" t="s">
        <v>1</v>
      </c>
      <c r="E39" s="71"/>
      <c r="F39" s="71"/>
      <c r="G39" s="71"/>
      <c r="H39" s="71"/>
      <c r="I39" s="71"/>
      <c r="J39" s="71"/>
      <c r="K39" s="121" t="str">
        <f>K4</f>
        <v>Estimated - For the 12 months ended 12/31/2025</v>
      </c>
    </row>
    <row r="40" spans="1:11">
      <c r="B40" s="71"/>
      <c r="C40" s="108" t="s">
        <v>3</v>
      </c>
      <c r="E40" s="107"/>
      <c r="F40" s="107"/>
      <c r="G40" s="107"/>
      <c r="H40" s="71"/>
      <c r="I40" s="71"/>
      <c r="J40" s="71"/>
      <c r="K40" s="71"/>
    </row>
    <row r="41" spans="1:11">
      <c r="B41" s="71"/>
      <c r="C41" s="107"/>
      <c r="E41" s="107"/>
      <c r="F41" s="107"/>
      <c r="G41" s="107"/>
      <c r="H41" s="71"/>
      <c r="I41" s="71"/>
      <c r="J41" s="71"/>
      <c r="K41" s="71"/>
    </row>
    <row r="42" spans="1:11">
      <c r="A42" s="78"/>
      <c r="C42" s="122" t="str">
        <f>C7</f>
        <v>Cheyenne Light, Fuel &amp; Power</v>
      </c>
      <c r="J42" s="107"/>
      <c r="K42" s="107"/>
    </row>
    <row r="43" spans="1:11">
      <c r="B43" s="71"/>
      <c r="C43" s="71"/>
      <c r="D43" s="71"/>
      <c r="E43" s="71"/>
      <c r="F43" s="71"/>
      <c r="G43" s="71"/>
      <c r="H43" s="71"/>
      <c r="J43" s="71"/>
      <c r="K43" s="71"/>
    </row>
    <row r="44" spans="1:11">
      <c r="B44" s="78" t="s">
        <v>15</v>
      </c>
      <c r="C44" s="78" t="s">
        <v>16</v>
      </c>
      <c r="D44" s="78" t="s">
        <v>17</v>
      </c>
      <c r="E44" s="107" t="s">
        <v>2</v>
      </c>
      <c r="F44" s="107"/>
      <c r="G44" s="123" t="s">
        <v>18</v>
      </c>
      <c r="H44" s="107"/>
      <c r="I44" s="124" t="s">
        <v>19</v>
      </c>
      <c r="J44" s="107"/>
      <c r="K44" s="78"/>
    </row>
    <row r="45" spans="1:11">
      <c r="B45" s="71"/>
      <c r="C45" s="125" t="s">
        <v>20</v>
      </c>
      <c r="D45" s="107"/>
      <c r="E45" s="107"/>
      <c r="F45" s="107"/>
      <c r="G45" s="78"/>
      <c r="H45" s="107"/>
      <c r="I45" s="126" t="s">
        <v>21</v>
      </c>
      <c r="J45" s="107"/>
      <c r="K45" s="78"/>
    </row>
    <row r="46" spans="1:11">
      <c r="A46" s="78" t="s">
        <v>4</v>
      </c>
      <c r="B46" s="71"/>
      <c r="C46" s="127" t="s">
        <v>22</v>
      </c>
      <c r="D46" s="126" t="s">
        <v>23</v>
      </c>
      <c r="E46" s="128"/>
      <c r="F46" s="126" t="s">
        <v>24</v>
      </c>
      <c r="H46" s="128"/>
      <c r="I46" s="78" t="s">
        <v>25</v>
      </c>
      <c r="J46" s="107"/>
      <c r="K46" s="78"/>
    </row>
    <row r="47" spans="1:11" ht="13.8" thickBot="1">
      <c r="A47" s="111" t="s">
        <v>6</v>
      </c>
      <c r="B47" s="129" t="s">
        <v>573</v>
      </c>
      <c r="C47" s="107"/>
      <c r="D47" s="107"/>
      <c r="E47" s="107"/>
      <c r="F47" s="107"/>
      <c r="G47" s="107"/>
      <c r="H47" s="107"/>
      <c r="I47" s="107"/>
      <c r="J47" s="107"/>
      <c r="K47" s="107"/>
    </row>
    <row r="48" spans="1:11">
      <c r="A48" s="78"/>
      <c r="B48" s="71" t="s">
        <v>639</v>
      </c>
      <c r="C48" s="107"/>
      <c r="D48" s="107"/>
      <c r="E48" s="107"/>
      <c r="F48" s="107"/>
      <c r="G48" s="107"/>
      <c r="H48" s="107"/>
      <c r="I48" s="107"/>
      <c r="J48" s="107"/>
      <c r="K48" s="107"/>
    </row>
    <row r="49" spans="1:11">
      <c r="A49" s="78">
        <v>1</v>
      </c>
      <c r="B49" s="71" t="s">
        <v>28</v>
      </c>
      <c r="C49" s="51" t="s">
        <v>1209</v>
      </c>
      <c r="D49" s="282">
        <f>'P1-Trans Plant'!H44</f>
        <v>214013131.49161464</v>
      </c>
      <c r="E49" s="107"/>
      <c r="F49" s="107" t="s">
        <v>11</v>
      </c>
      <c r="G49" s="131">
        <f>$I$170</f>
        <v>0.94026910793059781</v>
      </c>
      <c r="H49" s="107"/>
      <c r="I49" s="63">
        <f>+G49*D49</f>
        <v>201229936.23305422</v>
      </c>
      <c r="J49" s="107"/>
      <c r="K49" s="107"/>
    </row>
    <row r="50" spans="1:11">
      <c r="A50" s="78">
        <v>2</v>
      </c>
      <c r="B50" s="71" t="s">
        <v>30</v>
      </c>
      <c r="C50" s="71" t="s">
        <v>778</v>
      </c>
      <c r="D50" s="282">
        <f>'A4-Rate Base'!F22</f>
        <v>23449792.409999993</v>
      </c>
      <c r="E50" s="107"/>
      <c r="F50" s="107" t="s">
        <v>31</v>
      </c>
      <c r="G50" s="131">
        <f>$I$187</f>
        <v>8.3563690936576104E-2</v>
      </c>
      <c r="H50" s="107"/>
      <c r="I50" s="63">
        <f>+G50*D50</f>
        <v>1959551.2054761075</v>
      </c>
      <c r="J50" s="107"/>
      <c r="K50" s="107"/>
    </row>
    <row r="51" spans="1:11">
      <c r="A51" s="78">
        <v>3</v>
      </c>
      <c r="B51" s="71" t="s">
        <v>364</v>
      </c>
      <c r="C51" s="179" t="s">
        <v>621</v>
      </c>
      <c r="D51" s="587">
        <f>SUM(D49:D50)</f>
        <v>237462923.90161464</v>
      </c>
      <c r="E51" s="107"/>
      <c r="F51" s="107" t="s">
        <v>37</v>
      </c>
      <c r="G51" s="131">
        <f>$G$234</f>
        <v>0.23459886050901296</v>
      </c>
      <c r="H51" s="107"/>
      <c r="I51" s="184">
        <f>SUM(I49:I50)</f>
        <v>203189487.43853033</v>
      </c>
      <c r="J51" s="107"/>
      <c r="K51" s="133"/>
    </row>
    <row r="52" spans="1:11">
      <c r="B52" s="71"/>
      <c r="C52" s="107"/>
      <c r="D52" s="107"/>
      <c r="E52" s="107"/>
      <c r="F52" s="107"/>
      <c r="G52" s="131"/>
      <c r="H52" s="107"/>
      <c r="I52" s="59"/>
      <c r="J52" s="107"/>
      <c r="K52" s="133"/>
    </row>
    <row r="53" spans="1:11">
      <c r="B53" s="71" t="s">
        <v>640</v>
      </c>
      <c r="C53" s="107"/>
      <c r="D53" s="107"/>
      <c r="E53" s="107"/>
      <c r="F53" s="107"/>
      <c r="G53" s="131"/>
      <c r="H53" s="107"/>
      <c r="I53" s="107"/>
      <c r="J53" s="107"/>
      <c r="K53" s="107"/>
    </row>
    <row r="54" spans="1:11">
      <c r="A54" s="78">
        <v>4</v>
      </c>
      <c r="B54" s="134" t="str">
        <f>+B49</f>
        <v xml:space="preserve">  Transmission</v>
      </c>
      <c r="C54" s="51" t="s">
        <v>1210</v>
      </c>
      <c r="D54" s="282">
        <f>'P1-Trans Plant'!J44</f>
        <v>14861294.563740727</v>
      </c>
      <c r="E54" s="107"/>
      <c r="F54" s="115" t="str">
        <f>+F49</f>
        <v>TP</v>
      </c>
      <c r="G54" s="131">
        <f>$I$170</f>
        <v>0.94026910793059781</v>
      </c>
      <c r="H54" s="107"/>
      <c r="I54" s="63">
        <f>+G54*D54</f>
        <v>13973616.182142336</v>
      </c>
      <c r="J54" s="107"/>
      <c r="K54" s="107"/>
    </row>
    <row r="55" spans="1:11">
      <c r="A55" s="78">
        <v>5</v>
      </c>
      <c r="B55" s="134" t="str">
        <f>+B50</f>
        <v xml:space="preserve">  General &amp; Intangible</v>
      </c>
      <c r="C55" s="71" t="s">
        <v>779</v>
      </c>
      <c r="D55" s="282">
        <f>'A4-Rate Base'!H45</f>
        <v>6739376.9535216242</v>
      </c>
      <c r="E55" s="107"/>
      <c r="F55" s="115" t="str">
        <f>+F50</f>
        <v>W/S</v>
      </c>
      <c r="G55" s="131">
        <f>$I$187</f>
        <v>8.3563690936576104E-2</v>
      </c>
      <c r="H55" s="107"/>
      <c r="I55" s="63">
        <f>+G55*D55</f>
        <v>563167.21284916485</v>
      </c>
      <c r="J55" s="107"/>
      <c r="K55" s="107"/>
    </row>
    <row r="56" spans="1:11">
      <c r="A56" s="78">
        <v>6</v>
      </c>
      <c r="B56" s="71" t="s">
        <v>366</v>
      </c>
      <c r="C56" s="179" t="s">
        <v>621</v>
      </c>
      <c r="D56" s="587">
        <f>SUM(D54:D55)</f>
        <v>21600671.517262351</v>
      </c>
      <c r="E56" s="107"/>
      <c r="F56" s="107"/>
      <c r="G56" s="131"/>
      <c r="H56" s="107"/>
      <c r="I56" s="184">
        <f>SUM(I54:I55)</f>
        <v>14536783.3949915</v>
      </c>
      <c r="J56" s="107"/>
      <c r="K56" s="107"/>
    </row>
    <row r="57" spans="1:11">
      <c r="A57" s="78"/>
      <c r="C57" s="107" t="s">
        <v>2</v>
      </c>
      <c r="E57" s="107"/>
      <c r="F57" s="107"/>
      <c r="G57" s="131"/>
      <c r="H57" s="107"/>
      <c r="J57" s="107"/>
      <c r="K57" s="133"/>
    </row>
    <row r="58" spans="1:11">
      <c r="A58" s="78"/>
      <c r="B58" s="71" t="s">
        <v>141</v>
      </c>
      <c r="C58" s="107"/>
      <c r="D58" s="107"/>
      <c r="E58" s="107"/>
      <c r="F58" s="107"/>
      <c r="G58" s="131"/>
      <c r="H58" s="107"/>
      <c r="I58" s="107"/>
      <c r="J58" s="107"/>
      <c r="K58" s="107"/>
    </row>
    <row r="59" spans="1:11">
      <c r="A59" s="78">
        <v>7</v>
      </c>
      <c r="B59" s="134" t="str">
        <f>+B54</f>
        <v xml:space="preserve">  Transmission</v>
      </c>
      <c r="C59" s="52" t="s">
        <v>624</v>
      </c>
      <c r="D59" s="588">
        <f>D49-D54</f>
        <v>199151836.92787391</v>
      </c>
      <c r="E59" s="107"/>
      <c r="F59" s="107"/>
      <c r="G59" s="131"/>
      <c r="H59" s="107"/>
      <c r="I59" s="63">
        <f>I49-I54</f>
        <v>187256320.05091187</v>
      </c>
      <c r="J59" s="107"/>
      <c r="K59" s="133"/>
    </row>
    <row r="60" spans="1:11">
      <c r="A60" s="78">
        <v>8</v>
      </c>
      <c r="B60" s="134" t="str">
        <f>+B55</f>
        <v xml:space="preserve">  General &amp; Intangible</v>
      </c>
      <c r="C60" s="52" t="s">
        <v>623</v>
      </c>
      <c r="D60" s="588">
        <f>D50-D55</f>
        <v>16710415.456478368</v>
      </c>
      <c r="E60" s="107"/>
      <c r="F60" s="107"/>
      <c r="G60" s="131"/>
      <c r="H60" s="107"/>
      <c r="I60" s="63">
        <f>I50-I55</f>
        <v>1396383.9926269427</v>
      </c>
      <c r="J60" s="107"/>
      <c r="K60" s="133"/>
    </row>
    <row r="61" spans="1:11">
      <c r="A61" s="78">
        <v>9</v>
      </c>
      <c r="B61" s="71" t="s">
        <v>368</v>
      </c>
      <c r="C61" s="179" t="s">
        <v>622</v>
      </c>
      <c r="D61" s="589">
        <f>SUM(D59:D60)</f>
        <v>215862252.38435227</v>
      </c>
      <c r="E61" s="107"/>
      <c r="F61" s="107" t="s">
        <v>34</v>
      </c>
      <c r="G61" s="131">
        <f>$G$242</f>
        <v>0.27294896762579257</v>
      </c>
      <c r="H61" s="107"/>
      <c r="I61" s="184">
        <f>SUM(I59:I60)</f>
        <v>188652704.04353881</v>
      </c>
      <c r="J61" s="107"/>
      <c r="K61" s="107"/>
    </row>
    <row r="62" spans="1:11" s="2" customFormat="1">
      <c r="A62" s="53"/>
      <c r="B62" s="54"/>
      <c r="C62" s="52"/>
      <c r="D62" s="55"/>
      <c r="E62" s="51"/>
      <c r="F62" s="51"/>
      <c r="G62" s="131"/>
      <c r="H62" s="51"/>
      <c r="I62" s="63"/>
      <c r="J62" s="52"/>
      <c r="K62" s="52"/>
    </row>
    <row r="63" spans="1:11" s="2" customFormat="1">
      <c r="A63" s="53">
        <v>10</v>
      </c>
      <c r="B63" s="57" t="s">
        <v>370</v>
      </c>
      <c r="C63" s="58" t="s">
        <v>700</v>
      </c>
      <c r="D63" s="282">
        <f>'A4-Rate Base'!H23</f>
        <v>0</v>
      </c>
      <c r="E63" s="58"/>
      <c r="F63" s="73"/>
      <c r="G63" s="653"/>
      <c r="H63" s="58"/>
      <c r="I63" s="60">
        <f>+G63*D63</f>
        <v>0</v>
      </c>
      <c r="J63" s="52"/>
      <c r="K63" s="52"/>
    </row>
    <row r="64" spans="1:11" s="2" customFormat="1">
      <c r="A64" s="53"/>
      <c r="B64" s="61"/>
      <c r="C64" s="52"/>
      <c r="D64" s="55"/>
      <c r="E64" s="52"/>
      <c r="F64" s="61"/>
      <c r="G64" s="131"/>
      <c r="H64" s="52"/>
      <c r="I64" s="55"/>
      <c r="J64" s="52"/>
      <c r="K64" s="62"/>
    </row>
    <row r="65" spans="1:11">
      <c r="A65" s="78"/>
      <c r="B65" s="71" t="s">
        <v>464</v>
      </c>
      <c r="C65" s="107"/>
      <c r="D65" s="107"/>
      <c r="E65" s="107"/>
      <c r="F65" s="107"/>
      <c r="G65" s="131"/>
      <c r="H65" s="107"/>
      <c r="I65" s="107"/>
      <c r="J65" s="107"/>
      <c r="K65" s="107"/>
    </row>
    <row r="66" spans="1:11">
      <c r="A66" s="53">
        <v>11</v>
      </c>
      <c r="B66" s="134" t="s">
        <v>1091</v>
      </c>
      <c r="C66" s="71" t="s">
        <v>1031</v>
      </c>
      <c r="D66" s="282">
        <f>'P5-ADIT'!J72</f>
        <v>0</v>
      </c>
      <c r="E66" s="52"/>
      <c r="F66" s="52" t="s">
        <v>37</v>
      </c>
      <c r="G66" s="131">
        <f>$G$234</f>
        <v>0.23459886050901296</v>
      </c>
      <c r="H66" s="51"/>
      <c r="I66" s="55">
        <f>D66*G66</f>
        <v>0</v>
      </c>
      <c r="J66" s="107"/>
      <c r="K66" s="133"/>
    </row>
    <row r="67" spans="1:11">
      <c r="A67" s="53">
        <v>12</v>
      </c>
      <c r="B67" s="134" t="s">
        <v>1098</v>
      </c>
      <c r="C67" s="71" t="s">
        <v>1032</v>
      </c>
      <c r="D67" s="282">
        <f>'P5-ADIT'!J106</f>
        <v>-19245758.770186223</v>
      </c>
      <c r="E67" s="52"/>
      <c r="F67" s="52" t="s">
        <v>11</v>
      </c>
      <c r="G67" s="131">
        <f>$I$170</f>
        <v>0.94026910793059781</v>
      </c>
      <c r="H67" s="51"/>
      <c r="I67" s="55">
        <f>D67*G67</f>
        <v>-18096192.430290479</v>
      </c>
      <c r="J67" s="107"/>
      <c r="K67" s="133"/>
    </row>
    <row r="68" spans="1:11">
      <c r="A68" s="53">
        <v>13</v>
      </c>
      <c r="B68" s="134" t="s">
        <v>1099</v>
      </c>
      <c r="C68" s="71" t="s">
        <v>1033</v>
      </c>
      <c r="D68" s="282">
        <f>'P5-ADIT'!J140</f>
        <v>-4073310.5</v>
      </c>
      <c r="E68" s="52"/>
      <c r="F68" s="52" t="s">
        <v>37</v>
      </c>
      <c r="G68" s="131">
        <f>$G$234</f>
        <v>0.23459886050901296</v>
      </c>
      <c r="H68" s="51"/>
      <c r="I68" s="55">
        <f>D68*G68</f>
        <v>-955594.00179939787</v>
      </c>
      <c r="J68" s="107"/>
      <c r="K68" s="133"/>
    </row>
    <row r="69" spans="1:11">
      <c r="A69" s="53">
        <v>14</v>
      </c>
      <c r="B69" s="54" t="s">
        <v>136</v>
      </c>
      <c r="C69" s="71" t="s">
        <v>1016</v>
      </c>
      <c r="D69" s="282">
        <f>'P5-ADIT'!J28</f>
        <v>20988274.469999999</v>
      </c>
      <c r="E69" s="52"/>
      <c r="F69" s="52" t="s">
        <v>37</v>
      </c>
      <c r="G69" s="131">
        <f>$G$234</f>
        <v>0.23459886050901296</v>
      </c>
      <c r="H69" s="51"/>
      <c r="I69" s="63">
        <f>D69*G69</f>
        <v>4923825.274712408</v>
      </c>
      <c r="J69" s="107"/>
      <c r="K69" s="133"/>
    </row>
    <row r="70" spans="1:11">
      <c r="A70" s="53" t="s">
        <v>1018</v>
      </c>
      <c r="B70" s="54" t="s">
        <v>1019</v>
      </c>
      <c r="C70" s="71" t="s">
        <v>1017</v>
      </c>
      <c r="D70" s="282">
        <f>'P5-ADIT'!J35</f>
        <v>538238.0539943953</v>
      </c>
      <c r="E70" s="52"/>
      <c r="F70" s="52"/>
      <c r="G70" s="131"/>
      <c r="H70" s="51"/>
      <c r="I70" s="63">
        <f>D70</f>
        <v>538238.0539943953</v>
      </c>
      <c r="J70" s="107"/>
      <c r="K70" s="133"/>
    </row>
    <row r="71" spans="1:11">
      <c r="A71" s="53">
        <v>15</v>
      </c>
      <c r="B71" s="61" t="s">
        <v>999</v>
      </c>
      <c r="C71" s="71"/>
      <c r="D71" s="588">
        <v>0</v>
      </c>
      <c r="E71" s="52"/>
      <c r="F71" s="52"/>
      <c r="G71" s="131"/>
      <c r="H71" s="51"/>
      <c r="I71" s="59">
        <f>D71*G71</f>
        <v>0</v>
      </c>
      <c r="J71" s="107"/>
      <c r="K71" s="133"/>
    </row>
    <row r="72" spans="1:11">
      <c r="A72" s="53">
        <v>16</v>
      </c>
      <c r="B72" s="57" t="s">
        <v>371</v>
      </c>
      <c r="C72" s="71" t="s">
        <v>1096</v>
      </c>
      <c r="D72" s="282">
        <f>'A4-Rate Base'!C69</f>
        <v>0</v>
      </c>
      <c r="E72" s="58"/>
      <c r="F72" s="73"/>
      <c r="G72" s="653"/>
      <c r="H72" s="58"/>
      <c r="I72" s="60">
        <f>D72*G72</f>
        <v>0</v>
      </c>
      <c r="J72" s="107"/>
      <c r="K72" s="133"/>
    </row>
    <row r="73" spans="1:11">
      <c r="A73" s="53">
        <v>17</v>
      </c>
      <c r="B73" s="57" t="s">
        <v>372</v>
      </c>
      <c r="C73" s="71" t="s">
        <v>1097</v>
      </c>
      <c r="D73" s="282">
        <f>'A4-Rate Base'!D69</f>
        <v>0</v>
      </c>
      <c r="E73" s="58"/>
      <c r="F73" s="73"/>
      <c r="G73" s="653"/>
      <c r="H73" s="58"/>
      <c r="I73" s="60">
        <f>D73*G73</f>
        <v>0</v>
      </c>
      <c r="J73" s="107"/>
      <c r="K73" s="133"/>
    </row>
    <row r="74" spans="1:11">
      <c r="A74" s="53">
        <v>18</v>
      </c>
      <c r="B74" s="57" t="s">
        <v>374</v>
      </c>
      <c r="C74" s="71" t="s">
        <v>620</v>
      </c>
      <c r="D74" s="282">
        <f>'Act Att-H'!D78</f>
        <v>0</v>
      </c>
      <c r="E74" s="58"/>
      <c r="F74" s="58"/>
      <c r="G74" s="131"/>
      <c r="H74" s="58"/>
      <c r="I74" s="60">
        <f t="shared" ref="I74" si="0">D74</f>
        <v>0</v>
      </c>
      <c r="J74" s="107"/>
      <c r="K74" s="133"/>
    </row>
    <row r="75" spans="1:11">
      <c r="A75" s="53">
        <v>19</v>
      </c>
      <c r="B75" s="134" t="s">
        <v>137</v>
      </c>
      <c r="C75" s="71" t="s">
        <v>619</v>
      </c>
      <c r="D75" s="282">
        <f>'Act Att-H'!D79</f>
        <v>172054.47</v>
      </c>
      <c r="E75" s="107"/>
      <c r="F75" s="52" t="s">
        <v>37</v>
      </c>
      <c r="G75" s="131">
        <f>$G$234</f>
        <v>0.23459886050901296</v>
      </c>
      <c r="H75" s="107"/>
      <c r="I75" s="60">
        <f t="shared" ref="I75" si="1">D75*G75</f>
        <v>40363.782607482157</v>
      </c>
      <c r="J75" s="107"/>
      <c r="K75" s="133"/>
    </row>
    <row r="76" spans="1:11" ht="13.8" thickBot="1">
      <c r="A76" s="78">
        <v>20</v>
      </c>
      <c r="B76" s="134" t="s">
        <v>1202</v>
      </c>
      <c r="C76" s="71" t="s">
        <v>1001</v>
      </c>
      <c r="D76" s="282">
        <f>'P5-ADIT'!J175</f>
        <v>-2563038.3523542639</v>
      </c>
      <c r="E76" s="107"/>
      <c r="F76" s="107"/>
      <c r="G76" s="107"/>
      <c r="H76" s="107"/>
      <c r="I76" s="64">
        <f>D76</f>
        <v>-2563038.3523542639</v>
      </c>
      <c r="J76" s="107"/>
      <c r="K76" s="133"/>
    </row>
    <row r="77" spans="1:11">
      <c r="A77" s="78">
        <v>21</v>
      </c>
      <c r="B77" s="71" t="s">
        <v>380</v>
      </c>
      <c r="C77" s="179" t="s">
        <v>1071</v>
      </c>
      <c r="D77" s="587">
        <f>SUM(D66:D76)</f>
        <v>-4183540.6285460927</v>
      </c>
      <c r="E77" s="107"/>
      <c r="F77" s="107"/>
      <c r="G77" s="131"/>
      <c r="H77" s="107"/>
      <c r="I77" s="63">
        <f>SUM(I66:I76)</f>
        <v>-16112397.673129855</v>
      </c>
      <c r="J77" s="107"/>
      <c r="K77" s="107"/>
    </row>
    <row r="78" spans="1:11">
      <c r="A78" s="78"/>
      <c r="C78" s="107"/>
      <c r="E78" s="107"/>
      <c r="F78" s="107"/>
      <c r="G78" s="131"/>
      <c r="H78" s="107"/>
      <c r="J78" s="107"/>
      <c r="K78" s="133"/>
    </row>
    <row r="79" spans="1:11">
      <c r="A79" s="78">
        <v>22</v>
      </c>
      <c r="B79" s="71" t="s">
        <v>35</v>
      </c>
      <c r="C79" s="71" t="s">
        <v>780</v>
      </c>
      <c r="D79" s="282">
        <f>'A4-Rate Base'!I22</f>
        <v>318000</v>
      </c>
      <c r="E79" s="107"/>
      <c r="F79" s="115" t="str">
        <f>+F54</f>
        <v>TP</v>
      </c>
      <c r="G79" s="131">
        <f>$I$170</f>
        <v>0.94026910793059781</v>
      </c>
      <c r="H79" s="107"/>
      <c r="I79" s="63">
        <f>+G79*D79</f>
        <v>299005.5763219301</v>
      </c>
      <c r="J79" s="107"/>
      <c r="K79" s="107"/>
    </row>
    <row r="80" spans="1:11">
      <c r="A80" s="78"/>
      <c r="B80" s="71"/>
      <c r="C80" s="107"/>
      <c r="D80" s="107"/>
      <c r="E80" s="107"/>
      <c r="F80" s="107"/>
      <c r="G80" s="131"/>
      <c r="H80" s="107"/>
      <c r="I80" s="107"/>
      <c r="J80" s="107"/>
      <c r="K80" s="107"/>
    </row>
    <row r="81" spans="1:11">
      <c r="A81" s="78"/>
      <c r="B81" s="71" t="s">
        <v>142</v>
      </c>
      <c r="C81" s="52"/>
      <c r="D81" s="107"/>
      <c r="E81" s="107"/>
      <c r="F81" s="107"/>
      <c r="G81" s="131"/>
      <c r="H81" s="107"/>
      <c r="I81" s="107"/>
      <c r="J81" s="107"/>
      <c r="K81" s="107"/>
    </row>
    <row r="82" spans="1:11">
      <c r="A82" s="78">
        <v>23</v>
      </c>
      <c r="B82" s="71" t="s">
        <v>101</v>
      </c>
      <c r="C82" s="61" t="s">
        <v>625</v>
      </c>
      <c r="D82" s="588">
        <f>D112/8</f>
        <v>3789402.160268594</v>
      </c>
      <c r="E82" s="107"/>
      <c r="F82" s="107"/>
      <c r="G82" s="131"/>
      <c r="H82" s="107"/>
      <c r="I82" s="63">
        <f>I112/8</f>
        <v>484381.98818919575</v>
      </c>
      <c r="J82" s="71"/>
      <c r="K82" s="133"/>
    </row>
    <row r="83" spans="1:11">
      <c r="A83" s="78">
        <v>24</v>
      </c>
      <c r="B83" s="71" t="s">
        <v>143</v>
      </c>
      <c r="C83" s="69" t="s">
        <v>981</v>
      </c>
      <c r="D83" s="282">
        <f>'A4-Rate Base'!F107</f>
        <v>103929.3943081568</v>
      </c>
      <c r="E83" s="107"/>
      <c r="F83" s="107"/>
      <c r="G83" s="131"/>
      <c r="H83" s="107"/>
      <c r="I83" s="63">
        <f>D83</f>
        <v>103929.3943081568</v>
      </c>
      <c r="J83" s="107" t="s">
        <v>2</v>
      </c>
      <c r="K83" s="133"/>
    </row>
    <row r="84" spans="1:11" ht="13.8" thickBot="1">
      <c r="A84" s="78">
        <v>25</v>
      </c>
      <c r="B84" s="71" t="s">
        <v>138</v>
      </c>
      <c r="C84" s="51" t="s">
        <v>1089</v>
      </c>
      <c r="D84" s="282">
        <f>'A8-Prepmts'!H33</f>
        <v>133945.9922646902</v>
      </c>
      <c r="E84" s="107"/>
      <c r="F84" s="107"/>
      <c r="G84" s="131"/>
      <c r="H84" s="107"/>
      <c r="I84" s="64">
        <f>D84</f>
        <v>133945.9922646902</v>
      </c>
      <c r="J84" s="107"/>
      <c r="K84" s="133"/>
    </row>
    <row r="85" spans="1:11">
      <c r="A85" s="78">
        <v>26</v>
      </c>
      <c r="B85" s="71" t="s">
        <v>378</v>
      </c>
      <c r="C85" s="52"/>
      <c r="D85" s="587">
        <f>D82+D83+D84</f>
        <v>4027277.5468414412</v>
      </c>
      <c r="E85" s="71"/>
      <c r="F85" s="71"/>
      <c r="G85" s="71"/>
      <c r="H85" s="71"/>
      <c r="I85" s="63">
        <f>I82+I83+I84</f>
        <v>722257.37476204277</v>
      </c>
      <c r="J85" s="71"/>
      <c r="K85" s="71"/>
    </row>
    <row r="86" spans="1:11" ht="13.8" thickBot="1">
      <c r="C86" s="107"/>
      <c r="E86" s="107"/>
      <c r="F86" s="107"/>
      <c r="G86" s="107"/>
      <c r="H86" s="107"/>
      <c r="I86" s="135"/>
      <c r="J86" s="107"/>
      <c r="K86" s="107"/>
    </row>
    <row r="87" spans="1:11" ht="13.8" thickBot="1">
      <c r="A87" s="78">
        <v>27</v>
      </c>
      <c r="B87" s="71" t="s">
        <v>570</v>
      </c>
      <c r="C87" s="107"/>
      <c r="D87" s="70">
        <f>+D85+D79+D77+D61</f>
        <v>216023989.30264762</v>
      </c>
      <c r="E87" s="107"/>
      <c r="F87" s="107"/>
      <c r="G87" s="133"/>
      <c r="H87" s="107"/>
      <c r="I87" s="70">
        <f>+I85+I79+I77+I61</f>
        <v>173561569.32149294</v>
      </c>
      <c r="J87" s="107"/>
      <c r="K87" s="133"/>
    </row>
    <row r="88" spans="1:11" ht="13.8" thickTop="1">
      <c r="B88" s="71"/>
      <c r="C88" s="71"/>
      <c r="D88" s="104"/>
      <c r="E88" s="71"/>
      <c r="F88" s="71"/>
      <c r="G88" s="71"/>
      <c r="H88" s="71"/>
      <c r="I88" s="105"/>
      <c r="J88" s="105"/>
      <c r="K88" s="105"/>
    </row>
    <row r="89" spans="1:11">
      <c r="B89" s="71"/>
      <c r="C89" s="71"/>
      <c r="D89" s="104"/>
      <c r="E89" s="71"/>
      <c r="F89" s="71"/>
      <c r="G89" s="71"/>
      <c r="H89" s="71"/>
      <c r="I89" s="776" t="str">
        <f>I1</f>
        <v>Projected Attachment H</v>
      </c>
      <c r="J89" s="776"/>
      <c r="K89" s="776"/>
    </row>
    <row r="90" spans="1:11">
      <c r="B90" s="71"/>
      <c r="C90" s="71"/>
      <c r="D90" s="104"/>
      <c r="E90" s="71"/>
      <c r="F90" s="71"/>
      <c r="G90" s="71"/>
      <c r="H90" s="71"/>
      <c r="I90" s="71"/>
      <c r="J90" s="775" t="s">
        <v>243</v>
      </c>
      <c r="K90" s="775"/>
    </row>
    <row r="91" spans="1:11">
      <c r="B91" s="71"/>
      <c r="C91" s="71"/>
      <c r="D91" s="104"/>
      <c r="E91" s="71"/>
      <c r="F91" s="71"/>
      <c r="G91" s="71"/>
      <c r="H91" s="71"/>
      <c r="I91" s="71"/>
      <c r="J91" s="71"/>
      <c r="K91" s="105"/>
    </row>
    <row r="92" spans="1:11">
      <c r="B92" s="104" t="s">
        <v>0</v>
      </c>
      <c r="C92" s="78" t="s">
        <v>1</v>
      </c>
      <c r="E92" s="71"/>
      <c r="F92" s="71"/>
      <c r="G92" s="71"/>
      <c r="H92" s="71"/>
      <c r="I92" s="71"/>
      <c r="J92" s="71"/>
      <c r="K92" s="121" t="str">
        <f>K4</f>
        <v>Estimated - For the 12 months ended 12/31/2025</v>
      </c>
    </row>
    <row r="93" spans="1:11">
      <c r="B93" s="71"/>
      <c r="C93" s="108" t="s">
        <v>3</v>
      </c>
      <c r="E93" s="107"/>
      <c r="F93" s="107"/>
      <c r="G93" s="107"/>
      <c r="H93" s="71"/>
      <c r="I93" s="71"/>
      <c r="J93" s="71"/>
      <c r="K93" s="71"/>
    </row>
    <row r="94" spans="1:11">
      <c r="B94" s="71"/>
      <c r="C94" s="107"/>
      <c r="E94" s="107"/>
      <c r="F94" s="107"/>
      <c r="G94" s="107"/>
      <c r="H94" s="71"/>
      <c r="I94" s="71"/>
      <c r="J94" s="71"/>
      <c r="K94" s="71"/>
    </row>
    <row r="95" spans="1:11">
      <c r="A95" s="78"/>
      <c r="C95" s="122" t="str">
        <f>C7</f>
        <v>Cheyenne Light, Fuel &amp; Power</v>
      </c>
      <c r="J95" s="107"/>
      <c r="K95" s="107"/>
    </row>
    <row r="96" spans="1:11">
      <c r="A96" s="78"/>
      <c r="D96" s="136"/>
      <c r="J96" s="107"/>
      <c r="K96" s="107"/>
    </row>
    <row r="97" spans="1:11">
      <c r="A97" s="78"/>
      <c r="B97" s="78" t="s">
        <v>15</v>
      </c>
      <c r="C97" s="78" t="s">
        <v>16</v>
      </c>
      <c r="D97" s="78" t="s">
        <v>17</v>
      </c>
      <c r="E97" s="107" t="s">
        <v>2</v>
      </c>
      <c r="F97" s="107"/>
      <c r="G97" s="123" t="s">
        <v>18</v>
      </c>
      <c r="H97" s="107"/>
      <c r="I97" s="124" t="s">
        <v>19</v>
      </c>
      <c r="J97" s="107"/>
      <c r="K97" s="107"/>
    </row>
    <row r="98" spans="1:11">
      <c r="A98" s="78" t="s">
        <v>4</v>
      </c>
      <c r="B98" s="71"/>
      <c r="C98" s="125" t="s">
        <v>20</v>
      </c>
      <c r="D98" s="107"/>
      <c r="E98" s="107"/>
      <c r="F98" s="107"/>
      <c r="G98" s="78"/>
      <c r="H98" s="107"/>
      <c r="I98" s="126" t="s">
        <v>21</v>
      </c>
      <c r="J98" s="107"/>
      <c r="K98" s="126"/>
    </row>
    <row r="99" spans="1:11" ht="13.8" thickBot="1">
      <c r="A99" s="111" t="s">
        <v>6</v>
      </c>
      <c r="B99" s="71"/>
      <c r="C99" s="127" t="s">
        <v>22</v>
      </c>
      <c r="D99" s="126" t="s">
        <v>23</v>
      </c>
      <c r="E99" s="128"/>
      <c r="F99" s="126" t="s">
        <v>24</v>
      </c>
      <c r="H99" s="128"/>
      <c r="I99" s="78" t="s">
        <v>25</v>
      </c>
      <c r="J99" s="107"/>
      <c r="K99" s="126"/>
    </row>
    <row r="100" spans="1:11">
      <c r="A100" s="78"/>
      <c r="B100" s="71" t="s">
        <v>146</v>
      </c>
      <c r="C100" s="107"/>
      <c r="D100" s="107"/>
      <c r="E100" s="107"/>
      <c r="F100" s="107"/>
      <c r="G100" s="107"/>
      <c r="H100" s="107"/>
      <c r="I100" s="107"/>
      <c r="J100" s="107"/>
      <c r="K100" s="107"/>
    </row>
    <row r="101" spans="1:11">
      <c r="A101" s="78">
        <v>1</v>
      </c>
      <c r="B101" s="71" t="s">
        <v>38</v>
      </c>
      <c r="C101" s="71" t="s">
        <v>626</v>
      </c>
      <c r="D101" s="282">
        <f>'P2-Exp. &amp; Rev. Credits'!F16</f>
        <v>41473274.985085271</v>
      </c>
      <c r="E101" s="107"/>
      <c r="F101" s="107" t="s">
        <v>36</v>
      </c>
      <c r="G101" s="131">
        <f>$I$179</f>
        <v>0.93235979520046119</v>
      </c>
      <c r="H101" s="107"/>
      <c r="I101" s="63">
        <f>+G101*D101</f>
        <v>38668014.17138651</v>
      </c>
      <c r="J101" s="71"/>
      <c r="K101" s="107"/>
    </row>
    <row r="102" spans="1:11">
      <c r="A102" s="78">
        <v>2</v>
      </c>
      <c r="B102" s="71" t="s">
        <v>144</v>
      </c>
      <c r="C102" s="71" t="s">
        <v>627</v>
      </c>
      <c r="D102" s="282">
        <f>'P2-Exp. &amp; Rev. Credits'!F17</f>
        <v>614664.2375107148</v>
      </c>
      <c r="E102" s="107"/>
      <c r="F102" s="107" t="s">
        <v>36</v>
      </c>
      <c r="G102" s="131">
        <f>$I$179</f>
        <v>0.93235979520046119</v>
      </c>
      <c r="H102" s="107"/>
      <c r="I102" s="55">
        <f t="shared" ref="I102:I111" si="2">+G102*D102</f>
        <v>573088.22260253772</v>
      </c>
      <c r="J102" s="71"/>
      <c r="K102" s="107"/>
    </row>
    <row r="103" spans="1:11">
      <c r="A103" s="78" t="s">
        <v>145</v>
      </c>
      <c r="B103" s="71" t="s">
        <v>39</v>
      </c>
      <c r="C103" s="71" t="s">
        <v>628</v>
      </c>
      <c r="D103" s="282">
        <f>'P2-Exp. &amp; Rev. Credits'!F18</f>
        <v>39277778.258909196</v>
      </c>
      <c r="E103" s="107"/>
      <c r="F103" s="107" t="s">
        <v>36</v>
      </c>
      <c r="G103" s="131">
        <f>$I$179</f>
        <v>0.93235979520046119</v>
      </c>
      <c r="H103" s="107"/>
      <c r="I103" s="55">
        <f t="shared" si="2"/>
        <v>36621021.293405704</v>
      </c>
      <c r="J103" s="71"/>
      <c r="K103" s="107"/>
    </row>
    <row r="104" spans="1:11">
      <c r="A104" s="78">
        <v>3</v>
      </c>
      <c r="B104" s="71" t="s">
        <v>40</v>
      </c>
      <c r="C104" s="71" t="s">
        <v>629</v>
      </c>
      <c r="D104" s="282">
        <f>'P2-Exp. &amp; Rev. Credits'!F19</f>
        <v>31834255.886073533</v>
      </c>
      <c r="E104" s="107"/>
      <c r="F104" s="107" t="s">
        <v>31</v>
      </c>
      <c r="G104" s="131">
        <f>$I$187</f>
        <v>8.3563690936576104E-2</v>
      </c>
      <c r="H104" s="107"/>
      <c r="I104" s="63">
        <f t="shared" si="2"/>
        <v>2660187.9200597275</v>
      </c>
      <c r="J104" s="107"/>
      <c r="K104" s="107" t="s">
        <v>2</v>
      </c>
    </row>
    <row r="105" spans="1:11">
      <c r="A105" s="78">
        <v>4</v>
      </c>
      <c r="B105" s="71" t="s">
        <v>1217</v>
      </c>
      <c r="C105" s="71"/>
      <c r="D105" s="107"/>
      <c r="E105" s="107"/>
      <c r="F105" s="115"/>
      <c r="G105" s="131"/>
      <c r="H105" s="107"/>
      <c r="I105" s="55"/>
      <c r="J105" s="107"/>
      <c r="K105" s="107"/>
    </row>
    <row r="106" spans="1:11">
      <c r="A106" s="78">
        <v>5</v>
      </c>
      <c r="B106" s="71" t="s">
        <v>641</v>
      </c>
      <c r="C106" s="71" t="s">
        <v>630</v>
      </c>
      <c r="D106" s="282">
        <f>'P2-Exp. &amp; Rev. Credits'!F21</f>
        <v>2433905.677455768</v>
      </c>
      <c r="E106" s="107"/>
      <c r="F106" s="115">
        <f>+F105</f>
        <v>0</v>
      </c>
      <c r="G106" s="131">
        <f>$I$187</f>
        <v>8.3563690936576104E-2</v>
      </c>
      <c r="H106" s="107"/>
      <c r="I106" s="55">
        <f t="shared" si="2"/>
        <v>203386.14179969169</v>
      </c>
      <c r="J106" s="107"/>
      <c r="K106" s="107"/>
    </row>
    <row r="107" spans="1:11">
      <c r="A107" s="78" t="s">
        <v>102</v>
      </c>
      <c r="B107" s="71" t="s">
        <v>642</v>
      </c>
      <c r="C107" s="71" t="s">
        <v>631</v>
      </c>
      <c r="D107" s="282">
        <f>'P2-Exp. &amp; Rev. Credits'!F22</f>
        <v>0</v>
      </c>
      <c r="E107" s="107"/>
      <c r="F107" s="137" t="str">
        <f>+F101</f>
        <v>TE</v>
      </c>
      <c r="G107" s="131">
        <f>$I$179</f>
        <v>0.93235979520046119</v>
      </c>
      <c r="H107" s="107"/>
      <c r="I107" s="55">
        <f>+G107*D107</f>
        <v>0</v>
      </c>
      <c r="J107" s="107"/>
      <c r="K107" s="107"/>
    </row>
    <row r="108" spans="1:11">
      <c r="A108" s="78" t="s">
        <v>149</v>
      </c>
      <c r="B108" s="71" t="s">
        <v>930</v>
      </c>
      <c r="C108" s="71" t="s">
        <v>632</v>
      </c>
      <c r="D108" s="282">
        <f>'P2-Exp. &amp; Rev. Credits'!F23</f>
        <v>371969.69050000003</v>
      </c>
      <c r="E108" s="107"/>
      <c r="F108" s="115" t="s">
        <v>31</v>
      </c>
      <c r="G108" s="131">
        <f>$I$187</f>
        <v>8.3563690936576104E-2</v>
      </c>
      <c r="H108" s="107"/>
      <c r="I108" s="60">
        <f t="shared" ref="I108:I109" si="3">+G108*D108</f>
        <v>31083.160254715869</v>
      </c>
      <c r="J108" s="107"/>
      <c r="K108" s="107"/>
    </row>
    <row r="109" spans="1:11">
      <c r="A109" s="78" t="s">
        <v>150</v>
      </c>
      <c r="B109" s="71" t="s">
        <v>931</v>
      </c>
      <c r="C109" s="71" t="s">
        <v>633</v>
      </c>
      <c r="D109" s="282">
        <f>'P2-Exp. &amp; Rev. Credits'!F24</f>
        <v>1037935.1056343681</v>
      </c>
      <c r="E109" s="107"/>
      <c r="F109" s="115" t="str">
        <f>+F108</f>
        <v>W/S</v>
      </c>
      <c r="G109" s="131">
        <f>$I$187</f>
        <v>8.3563690936576104E-2</v>
      </c>
      <c r="H109" s="107"/>
      <c r="I109" s="60">
        <f t="shared" si="3"/>
        <v>86733.688379452811</v>
      </c>
      <c r="J109" s="107"/>
      <c r="K109" s="107"/>
    </row>
    <row r="110" spans="1:11">
      <c r="A110" s="78">
        <v>6</v>
      </c>
      <c r="B110" s="71" t="s">
        <v>32</v>
      </c>
      <c r="C110" s="71" t="s">
        <v>634</v>
      </c>
      <c r="D110" s="282">
        <f>'P2-Exp. &amp; Rev. Credits'!F25</f>
        <v>0</v>
      </c>
      <c r="E110" s="107"/>
      <c r="F110" s="107" t="s">
        <v>67</v>
      </c>
      <c r="G110" s="131">
        <f>K191</f>
        <v>8.1904195946416361E-2</v>
      </c>
      <c r="H110" s="107"/>
      <c r="I110" s="63">
        <f t="shared" si="2"/>
        <v>0</v>
      </c>
      <c r="J110" s="107"/>
      <c r="K110" s="107"/>
    </row>
    <row r="111" spans="1:11" ht="13.8" thickBot="1">
      <c r="A111" s="78">
        <v>7</v>
      </c>
      <c r="B111" s="71" t="s">
        <v>41</v>
      </c>
      <c r="C111" s="71" t="s">
        <v>635</v>
      </c>
      <c r="D111" s="282">
        <f>'P2-Exp. &amp; Rev. Credits'!F26</f>
        <v>0</v>
      </c>
      <c r="E111" s="107"/>
      <c r="F111" s="107" t="s">
        <v>373</v>
      </c>
      <c r="G111" s="131">
        <v>1</v>
      </c>
      <c r="H111" s="107"/>
      <c r="I111" s="64">
        <f t="shared" si="2"/>
        <v>0</v>
      </c>
      <c r="J111" s="107"/>
      <c r="K111" s="107"/>
    </row>
    <row r="112" spans="1:11">
      <c r="A112" s="78">
        <v>8</v>
      </c>
      <c r="B112" s="71" t="s">
        <v>1219</v>
      </c>
      <c r="C112" s="71"/>
      <c r="D112" s="587">
        <f>'P2-Exp. &amp; Rev. Credits'!F27</f>
        <v>30315217.282148752</v>
      </c>
      <c r="E112" s="107"/>
      <c r="F112" s="107"/>
      <c r="G112" s="131"/>
      <c r="H112" s="107"/>
      <c r="I112" s="63">
        <f>+I101-I102-I103+I104-I106+I110+I111+I107+I108-I109</f>
        <v>3875055.905513566</v>
      </c>
      <c r="J112" s="107"/>
      <c r="K112" s="107"/>
    </row>
    <row r="113" spans="1:11">
      <c r="A113" s="78"/>
      <c r="C113" s="107"/>
      <c r="E113" s="107"/>
      <c r="F113" s="107"/>
      <c r="G113" s="131"/>
      <c r="H113" s="107"/>
      <c r="J113" s="107"/>
      <c r="K113" s="107"/>
    </row>
    <row r="114" spans="1:11">
      <c r="A114" s="78"/>
      <c r="B114" s="71" t="s">
        <v>643</v>
      </c>
      <c r="C114" s="107"/>
      <c r="D114" s="107"/>
      <c r="E114" s="107"/>
      <c r="F114" s="107"/>
      <c r="G114" s="131"/>
      <c r="H114" s="107"/>
      <c r="I114" s="107"/>
      <c r="J114" s="107"/>
      <c r="K114" s="107"/>
    </row>
    <row r="115" spans="1:11">
      <c r="A115" s="78">
        <v>9</v>
      </c>
      <c r="B115" s="134" t="str">
        <f>+B101</f>
        <v xml:space="preserve">  Transmission </v>
      </c>
      <c r="C115" s="51" t="s">
        <v>1211</v>
      </c>
      <c r="D115" s="282">
        <f>'P1-Trans Plant'!E43</f>
        <v>3918721.8368809959</v>
      </c>
      <c r="E115" s="107"/>
      <c r="F115" s="107" t="s">
        <v>11</v>
      </c>
      <c r="G115" s="131">
        <f>$I$170</f>
        <v>0.94026910793059781</v>
      </c>
      <c r="H115" s="107"/>
      <c r="I115" s="63">
        <f>+G115*D115</f>
        <v>3684653.0857922477</v>
      </c>
      <c r="J115" s="107"/>
      <c r="K115" s="133"/>
    </row>
    <row r="116" spans="1:11">
      <c r="A116" s="78">
        <v>10</v>
      </c>
      <c r="B116" s="71" t="s">
        <v>127</v>
      </c>
      <c r="C116" s="71" t="s">
        <v>587</v>
      </c>
      <c r="D116" s="282">
        <f>'Act Att-H'!D120</f>
        <v>2181990.9125472084</v>
      </c>
      <c r="E116" s="107"/>
      <c r="F116" s="107" t="s">
        <v>31</v>
      </c>
      <c r="G116" s="131">
        <f>+G104</f>
        <v>8.3563690936576104E-2</v>
      </c>
      <c r="H116" s="107"/>
      <c r="I116" s="63">
        <f>+G116*D116</f>
        <v>182335.21424251259</v>
      </c>
      <c r="J116" s="107"/>
      <c r="K116" s="133"/>
    </row>
    <row r="117" spans="1:11">
      <c r="A117" s="78">
        <v>11</v>
      </c>
      <c r="B117" s="134" t="str">
        <f>+B110</f>
        <v xml:space="preserve">  Common</v>
      </c>
      <c r="C117" s="71" t="s">
        <v>598</v>
      </c>
      <c r="D117" s="282">
        <f>'Act Att-H'!D121</f>
        <v>0</v>
      </c>
      <c r="E117" s="107"/>
      <c r="F117" s="107" t="s">
        <v>67</v>
      </c>
      <c r="G117" s="131">
        <f>+G110</f>
        <v>8.1904195946416361E-2</v>
      </c>
      <c r="H117" s="107"/>
      <c r="I117" s="63">
        <f>+G117*D117</f>
        <v>0</v>
      </c>
      <c r="J117" s="107"/>
      <c r="K117" s="133"/>
    </row>
    <row r="118" spans="1:11" s="2" customFormat="1" ht="13.8" thickBot="1">
      <c r="A118" s="74" t="s">
        <v>383</v>
      </c>
      <c r="B118" s="57" t="s">
        <v>389</v>
      </c>
      <c r="C118" s="71" t="s">
        <v>1128</v>
      </c>
      <c r="D118" s="282">
        <f>'Act Att-H'!D122</f>
        <v>0</v>
      </c>
      <c r="E118" s="55"/>
      <c r="F118" s="73"/>
      <c r="G118" s="653"/>
      <c r="H118" s="55"/>
      <c r="I118" s="68">
        <f>+G118*D118</f>
        <v>0</v>
      </c>
      <c r="J118" s="52"/>
      <c r="K118" s="62"/>
    </row>
    <row r="119" spans="1:11">
      <c r="A119" s="78">
        <v>12</v>
      </c>
      <c r="B119" s="71" t="s">
        <v>390</v>
      </c>
      <c r="C119" s="179" t="s">
        <v>391</v>
      </c>
      <c r="D119" s="589">
        <f>SUM(D115:D118)</f>
        <v>6100712.7494282043</v>
      </c>
      <c r="E119" s="107"/>
      <c r="F119" s="107"/>
      <c r="G119" s="131"/>
      <c r="H119" s="107"/>
      <c r="I119" s="63">
        <f>SUM(I115:I118)</f>
        <v>3866988.3000347605</v>
      </c>
      <c r="J119" s="107"/>
      <c r="K119" s="107"/>
    </row>
    <row r="120" spans="1:11">
      <c r="A120" s="78"/>
      <c r="B120" s="71"/>
      <c r="C120" s="107"/>
      <c r="D120" s="107"/>
      <c r="E120" s="107"/>
      <c r="F120" s="107"/>
      <c r="G120" s="131"/>
      <c r="H120" s="107"/>
      <c r="I120" s="107"/>
      <c r="J120" s="107"/>
      <c r="K120" s="107"/>
    </row>
    <row r="121" spans="1:11">
      <c r="A121" s="78" t="s">
        <v>2</v>
      </c>
      <c r="B121" s="71" t="s">
        <v>644</v>
      </c>
      <c r="D121" s="107"/>
      <c r="E121" s="107"/>
      <c r="F121" s="107"/>
      <c r="G121" s="131"/>
      <c r="H121" s="107"/>
      <c r="I121" s="107"/>
      <c r="J121" s="107"/>
      <c r="K121" s="107"/>
    </row>
    <row r="122" spans="1:11">
      <c r="A122" s="78"/>
      <c r="B122" s="71" t="s">
        <v>42</v>
      </c>
      <c r="C122" s="71"/>
      <c r="E122" s="107"/>
      <c r="F122" s="107"/>
      <c r="G122" s="131"/>
      <c r="H122" s="107"/>
      <c r="J122" s="107"/>
      <c r="K122" s="133"/>
    </row>
    <row r="123" spans="1:11">
      <c r="A123" s="78">
        <v>13</v>
      </c>
      <c r="B123" s="71" t="s">
        <v>43</v>
      </c>
      <c r="C123" s="71" t="s">
        <v>591</v>
      </c>
      <c r="D123" s="282">
        <f>'P2-Exp. &amp; Rev. Credits'!F32</f>
        <v>1861292.8794977376</v>
      </c>
      <c r="E123" s="107"/>
      <c r="F123" s="107" t="s">
        <v>31</v>
      </c>
      <c r="G123" s="131">
        <f>+G116</f>
        <v>8.3563690936576104E-2</v>
      </c>
      <c r="H123" s="107"/>
      <c r="I123" s="63">
        <f>+G123*D123</f>
        <v>155536.50292479873</v>
      </c>
      <c r="J123" s="107"/>
      <c r="K123" s="133"/>
    </row>
    <row r="124" spans="1:11">
      <c r="A124" s="78">
        <v>14</v>
      </c>
      <c r="B124" s="71" t="s">
        <v>44</v>
      </c>
      <c r="C124" s="71" t="s">
        <v>592</v>
      </c>
      <c r="D124" s="282">
        <f>'P2-Exp. &amp; Rev. Credits'!F33</f>
        <v>0</v>
      </c>
      <c r="E124" s="107"/>
      <c r="F124" s="115" t="str">
        <f>+F123</f>
        <v>W/S</v>
      </c>
      <c r="G124" s="131">
        <f>+G123</f>
        <v>8.3563690936576104E-2</v>
      </c>
      <c r="H124" s="107"/>
      <c r="I124" s="63">
        <f>+G124*D124</f>
        <v>0</v>
      </c>
      <c r="J124" s="107"/>
      <c r="K124" s="133"/>
    </row>
    <row r="125" spans="1:11">
      <c r="A125" s="78">
        <v>15</v>
      </c>
      <c r="B125" s="71" t="s">
        <v>45</v>
      </c>
      <c r="C125" s="71" t="s">
        <v>2</v>
      </c>
      <c r="D125" s="107" t="s">
        <v>2</v>
      </c>
      <c r="E125" s="107"/>
      <c r="F125" s="107"/>
      <c r="G125" s="131"/>
      <c r="H125" s="107"/>
      <c r="J125" s="107"/>
      <c r="K125" s="133"/>
    </row>
    <row r="126" spans="1:11">
      <c r="A126" s="78">
        <v>16</v>
      </c>
      <c r="B126" s="71" t="s">
        <v>46</v>
      </c>
      <c r="C126" s="71" t="s">
        <v>593</v>
      </c>
      <c r="D126" s="282">
        <f>'P2-Exp. &amp; Rev. Credits'!F35</f>
        <v>4829151.5867519425</v>
      </c>
      <c r="E126" s="107"/>
      <c r="F126" s="107" t="s">
        <v>37</v>
      </c>
      <c r="G126" s="131">
        <f>$G$234</f>
        <v>0.23459886050901296</v>
      </c>
      <c r="H126" s="107"/>
      <c r="I126" s="63">
        <f>+G126*D126</f>
        <v>1132913.4594772975</v>
      </c>
      <c r="J126" s="107"/>
      <c r="K126" s="133"/>
    </row>
    <row r="127" spans="1:11">
      <c r="A127" s="78">
        <v>17</v>
      </c>
      <c r="B127" s="71" t="s">
        <v>47</v>
      </c>
      <c r="C127" s="71" t="s">
        <v>594</v>
      </c>
      <c r="D127" s="282">
        <f>'P2-Exp. &amp; Rev. Credits'!F36</f>
        <v>2952554.7811656892</v>
      </c>
      <c r="E127" s="107"/>
      <c r="F127" s="115" t="s">
        <v>27</v>
      </c>
      <c r="G127" s="131">
        <v>0</v>
      </c>
      <c r="H127" s="107"/>
      <c r="I127" s="63">
        <v>0</v>
      </c>
      <c r="J127" s="107"/>
      <c r="K127" s="133"/>
    </row>
    <row r="128" spans="1:11">
      <c r="A128" s="78">
        <v>18</v>
      </c>
      <c r="B128" s="71" t="s">
        <v>59</v>
      </c>
      <c r="C128" s="71" t="s">
        <v>595</v>
      </c>
      <c r="D128" s="282">
        <f>'P2-Exp. &amp; Rev. Credits'!F37</f>
        <v>0</v>
      </c>
      <c r="E128" s="107"/>
      <c r="F128" s="693"/>
      <c r="G128" s="653"/>
      <c r="H128" s="107"/>
      <c r="I128" s="63">
        <f>+G128*D128</f>
        <v>0</v>
      </c>
      <c r="J128" s="107"/>
      <c r="K128" s="133"/>
    </row>
    <row r="129" spans="1:11" ht="13.8" thickBot="1">
      <c r="A129" s="78">
        <v>19</v>
      </c>
      <c r="B129" s="71" t="s">
        <v>1130</v>
      </c>
      <c r="C129" s="71"/>
      <c r="D129" s="588"/>
      <c r="E129" s="107"/>
      <c r="F129" s="107"/>
      <c r="G129" s="131"/>
      <c r="H129" s="107"/>
      <c r="I129" s="63"/>
      <c r="J129" s="107"/>
      <c r="K129" s="133"/>
    </row>
    <row r="130" spans="1:11">
      <c r="A130" s="78">
        <v>20</v>
      </c>
      <c r="B130" s="71" t="s">
        <v>393</v>
      </c>
      <c r="C130" s="179" t="s">
        <v>392</v>
      </c>
      <c r="D130" s="587">
        <f>SUM(D123:D129)</f>
        <v>9642999.2474153694</v>
      </c>
      <c r="E130" s="107"/>
      <c r="F130" s="107"/>
      <c r="G130" s="131"/>
      <c r="H130" s="107"/>
      <c r="I130" s="72">
        <f>SUM(I123:I129)</f>
        <v>1288449.9624020963</v>
      </c>
      <c r="J130" s="107"/>
      <c r="K130" s="107"/>
    </row>
    <row r="131" spans="1:11">
      <c r="A131" s="78"/>
      <c r="B131" s="71"/>
      <c r="C131" s="107"/>
      <c r="D131" s="107"/>
      <c r="E131" s="107"/>
      <c r="F131" s="107"/>
      <c r="G131" s="131"/>
      <c r="H131" s="107"/>
      <c r="I131" s="107"/>
      <c r="J131" s="107"/>
      <c r="K131" s="107"/>
    </row>
    <row r="132" spans="1:11">
      <c r="A132" s="78" t="s">
        <v>2</v>
      </c>
      <c r="B132" s="71" t="s">
        <v>49</v>
      </c>
      <c r="C132" s="107" t="s">
        <v>636</v>
      </c>
      <c r="D132" s="107"/>
      <c r="E132" s="107"/>
      <c r="G132" s="131"/>
      <c r="H132" s="107"/>
      <c r="J132" s="107"/>
    </row>
    <row r="133" spans="1:11">
      <c r="A133" s="78">
        <v>21</v>
      </c>
      <c r="B133" s="140" t="s">
        <v>98</v>
      </c>
      <c r="C133" s="107"/>
      <c r="D133" s="141">
        <f>IF(D251&gt;0,1-(((1-D252)*(1-D251))/(1-D252*D251*D253)),0)</f>
        <v>0.20999999999999996</v>
      </c>
      <c r="E133" s="107"/>
      <c r="G133" s="131"/>
      <c r="H133" s="107"/>
      <c r="J133" s="107"/>
    </row>
    <row r="134" spans="1:11">
      <c r="A134" s="78">
        <v>22</v>
      </c>
      <c r="B134" s="103" t="s">
        <v>946</v>
      </c>
      <c r="C134" s="107"/>
      <c r="D134" s="141">
        <f>IF(I211&gt;0,(D133/(1-D133))*(1-I208/I211),0)</f>
        <v>0.15118691203678036</v>
      </c>
      <c r="E134" s="107"/>
      <c r="G134" s="131"/>
      <c r="H134" s="107"/>
      <c r="J134" s="107"/>
    </row>
    <row r="135" spans="1:11">
      <c r="A135" s="78"/>
      <c r="B135" s="71" t="s">
        <v>148</v>
      </c>
      <c r="C135" s="107"/>
      <c r="D135" s="107"/>
      <c r="E135" s="107"/>
      <c r="G135" s="131"/>
      <c r="H135" s="107"/>
      <c r="J135" s="107"/>
    </row>
    <row r="136" spans="1:11">
      <c r="A136" s="78"/>
      <c r="B136" s="71" t="s">
        <v>637</v>
      </c>
      <c r="C136" s="107"/>
      <c r="D136" s="107"/>
      <c r="E136" s="107"/>
      <c r="G136" s="131"/>
      <c r="H136" s="107"/>
      <c r="J136" s="107"/>
    </row>
    <row r="137" spans="1:11">
      <c r="A137" s="78">
        <v>23</v>
      </c>
      <c r="B137" s="140" t="s">
        <v>99</v>
      </c>
      <c r="C137" s="107"/>
      <c r="D137" s="590">
        <f>IF(D133&gt;0,1/(1-D133),0)</f>
        <v>1.2658227848101264</v>
      </c>
      <c r="E137" s="107"/>
      <c r="G137" s="131"/>
      <c r="H137" s="107"/>
      <c r="J137" s="107"/>
    </row>
    <row r="138" spans="1:11">
      <c r="A138" s="78">
        <v>24</v>
      </c>
      <c r="B138" s="71" t="s">
        <v>944</v>
      </c>
      <c r="C138" s="71" t="s">
        <v>599</v>
      </c>
      <c r="D138" s="282">
        <f>'Act Att-H'!D142</f>
        <v>68</v>
      </c>
      <c r="E138" s="107"/>
      <c r="G138" s="131"/>
      <c r="H138" s="107"/>
      <c r="J138" s="107"/>
    </row>
    <row r="139" spans="1:11">
      <c r="A139" s="78" t="s">
        <v>384</v>
      </c>
      <c r="B139" s="54" t="s">
        <v>1199</v>
      </c>
      <c r="C139" s="71" t="s">
        <v>1009</v>
      </c>
      <c r="D139" s="282">
        <f>'Act Att-H'!D143</f>
        <v>124421.49966</v>
      </c>
      <c r="E139" s="107"/>
      <c r="G139" s="131"/>
      <c r="H139" s="107"/>
      <c r="J139" s="107"/>
    </row>
    <row r="140" spans="1:11">
      <c r="A140" s="78" t="s">
        <v>831</v>
      </c>
      <c r="B140" s="54" t="s">
        <v>1200</v>
      </c>
      <c r="C140" s="71" t="s">
        <v>1022</v>
      </c>
      <c r="D140" s="282">
        <f>'Act Att-H'!D144</f>
        <v>14389.576959070824</v>
      </c>
      <c r="E140" s="107"/>
      <c r="G140" s="131"/>
      <c r="H140" s="107"/>
      <c r="J140" s="107"/>
    </row>
    <row r="141" spans="1:11">
      <c r="A141" s="78" t="s">
        <v>385</v>
      </c>
      <c r="B141" s="54" t="s">
        <v>382</v>
      </c>
      <c r="C141" s="71" t="s">
        <v>600</v>
      </c>
      <c r="D141" s="282">
        <f>'Act Att-H'!D145</f>
        <v>3021.8111614048726</v>
      </c>
      <c r="E141" s="107"/>
      <c r="G141" s="131"/>
      <c r="H141" s="107"/>
      <c r="J141" s="107"/>
    </row>
    <row r="142" spans="1:11">
      <c r="A142" s="78">
        <v>25</v>
      </c>
      <c r="B142" s="140" t="s">
        <v>396</v>
      </c>
      <c r="C142" s="142" t="s">
        <v>394</v>
      </c>
      <c r="D142" s="588">
        <f>D134*D149</f>
        <v>2583707.0051517077</v>
      </c>
      <c r="E142" s="107"/>
      <c r="F142" s="107"/>
      <c r="G142" s="131"/>
      <c r="H142" s="107"/>
      <c r="I142" s="63">
        <f>D134*I149</f>
        <v>2075844.6500717828</v>
      </c>
      <c r="J142" s="107"/>
      <c r="K142" s="143" t="s">
        <v>2</v>
      </c>
    </row>
    <row r="143" spans="1:11">
      <c r="A143" s="78">
        <v>26</v>
      </c>
      <c r="B143" s="103" t="s">
        <v>397</v>
      </c>
      <c r="C143" s="142" t="s">
        <v>395</v>
      </c>
      <c r="D143" s="588">
        <f>D137*D138</f>
        <v>86.075949367088597</v>
      </c>
      <c r="E143" s="107"/>
      <c r="F143" s="52" t="s">
        <v>37</v>
      </c>
      <c r="G143" s="131">
        <f>$G$234</f>
        <v>0.23459886050901296</v>
      </c>
      <c r="H143" s="107"/>
      <c r="I143" s="63">
        <f>G143*D143</f>
        <v>20.193319638750481</v>
      </c>
      <c r="J143" s="107"/>
      <c r="K143" s="143"/>
    </row>
    <row r="144" spans="1:11">
      <c r="A144" s="78" t="s">
        <v>398</v>
      </c>
      <c r="B144" s="61" t="s">
        <v>400</v>
      </c>
      <c r="C144" s="76" t="s">
        <v>402</v>
      </c>
      <c r="D144" s="588">
        <f>D137*D139</f>
        <v>157495.56918987341</v>
      </c>
      <c r="E144" s="107"/>
      <c r="G144" s="131"/>
      <c r="H144" s="107"/>
      <c r="I144" s="63">
        <f>D144</f>
        <v>157495.56918987341</v>
      </c>
      <c r="J144" s="107"/>
      <c r="K144" s="143"/>
    </row>
    <row r="145" spans="1:11">
      <c r="A145" s="78" t="s">
        <v>399</v>
      </c>
      <c r="B145" s="61" t="s">
        <v>401</v>
      </c>
      <c r="C145" s="76" t="s">
        <v>403</v>
      </c>
      <c r="D145" s="588">
        <f>D137*D141</f>
        <v>3825.0774194998385</v>
      </c>
      <c r="E145" s="107"/>
      <c r="G145" s="131"/>
      <c r="H145" s="107"/>
      <c r="I145" s="63">
        <f>D145</f>
        <v>3825.0774194998385</v>
      </c>
      <c r="J145" s="107"/>
      <c r="K145" s="143"/>
    </row>
    <row r="146" spans="1:11">
      <c r="A146" s="78">
        <v>27</v>
      </c>
      <c r="B146" s="140" t="s">
        <v>92</v>
      </c>
      <c r="C146" s="61" t="s">
        <v>945</v>
      </c>
      <c r="D146" s="589">
        <f>D142+D145-D143-D144</f>
        <v>2429950.4374319669</v>
      </c>
      <c r="E146" s="107"/>
      <c r="F146" s="107" t="s">
        <v>2</v>
      </c>
      <c r="G146" s="131" t="s">
        <v>2</v>
      </c>
      <c r="H146" s="107"/>
      <c r="I146" s="589">
        <f>I142+I145-I143-I144</f>
        <v>1922153.9649817706</v>
      </c>
      <c r="J146" s="107"/>
      <c r="K146" s="107"/>
    </row>
    <row r="147" spans="1:11">
      <c r="A147" s="78" t="s">
        <v>2</v>
      </c>
      <c r="C147" s="144"/>
      <c r="D147" s="588"/>
      <c r="E147" s="107"/>
      <c r="F147" s="107"/>
      <c r="G147" s="131"/>
      <c r="H147" s="107"/>
      <c r="I147" s="107"/>
      <c r="J147" s="107"/>
      <c r="K147" s="107"/>
    </row>
    <row r="148" spans="1:11">
      <c r="B148" s="71" t="s">
        <v>50</v>
      </c>
      <c r="C148" s="133"/>
      <c r="G148" s="131"/>
      <c r="J148" s="107"/>
    </row>
    <row r="149" spans="1:11">
      <c r="A149" s="78">
        <v>28</v>
      </c>
      <c r="B149" s="140" t="s">
        <v>708</v>
      </c>
      <c r="C149" s="720" t="s">
        <v>1124</v>
      </c>
      <c r="D149" s="63">
        <f>+$I211*D87+I214</f>
        <v>17089488.569772165</v>
      </c>
      <c r="E149" s="107"/>
      <c r="F149" s="107"/>
      <c r="G149" s="131"/>
      <c r="H149" s="107"/>
      <c r="I149" s="385">
        <f>+$I211*I87+I214</f>
        <v>13730319.788307976</v>
      </c>
      <c r="J149" s="107"/>
      <c r="K149" s="133"/>
    </row>
    <row r="150" spans="1:11">
      <c r="A150" s="78"/>
      <c r="B150" s="71"/>
      <c r="D150" s="107"/>
      <c r="E150" s="107"/>
      <c r="F150" s="107"/>
      <c r="G150" s="139"/>
      <c r="H150" s="107"/>
      <c r="I150" s="107"/>
      <c r="J150" s="107"/>
      <c r="K150" s="133"/>
    </row>
    <row r="151" spans="1:11" ht="13.8" thickBot="1">
      <c r="A151" s="78">
        <v>29</v>
      </c>
      <c r="B151" s="71" t="s">
        <v>405</v>
      </c>
      <c r="C151" s="107" t="s">
        <v>404</v>
      </c>
      <c r="D151" s="77">
        <f>+D112+D119+D130+D146+D149</f>
        <v>65578368.286196455</v>
      </c>
      <c r="E151" s="107"/>
      <c r="F151" s="107"/>
      <c r="G151" s="107"/>
      <c r="H151" s="107"/>
      <c r="I151" s="77">
        <f>+I112+I119+I130+I146+I149</f>
        <v>24682967.92124017</v>
      </c>
      <c r="J151" s="71"/>
      <c r="K151" s="71"/>
    </row>
    <row r="152" spans="1:11" ht="13.8" thickTop="1">
      <c r="A152" s="78"/>
      <c r="B152" s="71"/>
      <c r="C152" s="107"/>
      <c r="D152" s="115"/>
      <c r="E152" s="107"/>
      <c r="F152" s="107"/>
      <c r="G152" s="107"/>
      <c r="H152" s="107"/>
      <c r="I152" s="115"/>
      <c r="J152" s="71"/>
      <c r="K152" s="71"/>
    </row>
    <row r="153" spans="1:11">
      <c r="B153" s="71"/>
      <c r="C153" s="71"/>
      <c r="D153" s="104"/>
      <c r="E153" s="71"/>
      <c r="F153" s="775"/>
      <c r="G153" s="775"/>
      <c r="H153" s="775"/>
      <c r="I153" s="775"/>
      <c r="J153" s="775"/>
      <c r="K153" s="775"/>
    </row>
    <row r="154" spans="1:11">
      <c r="B154" s="71"/>
      <c r="C154" s="71"/>
      <c r="D154" s="104"/>
      <c r="E154" s="71"/>
      <c r="F154" s="71"/>
      <c r="G154" s="71"/>
      <c r="H154" s="71"/>
      <c r="I154" s="776" t="str">
        <f>I1</f>
        <v>Projected Attachment H</v>
      </c>
      <c r="J154" s="776"/>
      <c r="K154" s="776"/>
    </row>
    <row r="155" spans="1:11">
      <c r="B155" s="71"/>
      <c r="C155" s="71"/>
      <c r="D155" s="104"/>
      <c r="E155" s="71"/>
      <c r="F155" s="71"/>
      <c r="G155" s="71"/>
      <c r="H155" s="71"/>
      <c r="I155" s="71"/>
      <c r="J155" s="775" t="s">
        <v>244</v>
      </c>
      <c r="K155" s="775"/>
    </row>
    <row r="156" spans="1:11">
      <c r="B156" s="71"/>
      <c r="C156" s="71"/>
      <c r="D156" s="104"/>
      <c r="E156" s="71"/>
      <c r="F156" s="71"/>
      <c r="G156" s="71"/>
      <c r="H156" s="71"/>
      <c r="I156" s="71"/>
      <c r="J156" s="105"/>
      <c r="K156" s="105"/>
    </row>
    <row r="157" spans="1:11">
      <c r="B157" s="104" t="s">
        <v>0</v>
      </c>
      <c r="C157" s="78" t="s">
        <v>1</v>
      </c>
      <c r="E157" s="71"/>
      <c r="F157" s="71"/>
      <c r="G157" s="782" t="str">
        <f>K4</f>
        <v>Estimated - For the 12 months ended 12/31/2025</v>
      </c>
      <c r="H157" s="782"/>
      <c r="I157" s="782"/>
      <c r="J157" s="782"/>
      <c r="K157" s="782"/>
    </row>
    <row r="158" spans="1:11">
      <c r="B158" s="71"/>
      <c r="C158" s="108" t="s">
        <v>3</v>
      </c>
      <c r="E158" s="107"/>
      <c r="F158" s="107"/>
      <c r="G158" s="107"/>
      <c r="H158" s="71"/>
      <c r="I158" s="71"/>
      <c r="J158" s="71"/>
      <c r="K158" s="71"/>
    </row>
    <row r="159" spans="1:11" ht="9" customHeight="1">
      <c r="A159" s="78"/>
      <c r="J159" s="107"/>
      <c r="K159" s="107"/>
    </row>
    <row r="160" spans="1:11">
      <c r="A160" s="78"/>
      <c r="C160" s="122" t="str">
        <f>C7</f>
        <v>Cheyenne Light, Fuel &amp; Power</v>
      </c>
      <c r="J160" s="107"/>
      <c r="K160" s="107"/>
    </row>
    <row r="161" spans="1:19">
      <c r="A161" s="78"/>
      <c r="C161" s="136"/>
      <c r="J161" s="107"/>
      <c r="K161" s="107"/>
    </row>
    <row r="162" spans="1:19">
      <c r="A162" s="78"/>
      <c r="C162" s="126" t="s">
        <v>139</v>
      </c>
      <c r="E162" s="71"/>
      <c r="F162" s="71"/>
      <c r="G162" s="71"/>
      <c r="H162" s="71"/>
      <c r="I162" s="71"/>
      <c r="J162" s="107"/>
      <c r="K162" s="107"/>
    </row>
    <row r="163" spans="1:19">
      <c r="A163" s="78" t="s">
        <v>4</v>
      </c>
      <c r="B163" s="78" t="s">
        <v>15</v>
      </c>
      <c r="C163" s="78" t="s">
        <v>16</v>
      </c>
      <c r="D163" s="78" t="s">
        <v>17</v>
      </c>
      <c r="E163" s="107" t="s">
        <v>2</v>
      </c>
      <c r="F163" s="107"/>
      <c r="G163" s="123" t="s">
        <v>18</v>
      </c>
      <c r="H163" s="107"/>
      <c r="I163" s="124" t="s">
        <v>19</v>
      </c>
      <c r="J163" s="107"/>
      <c r="K163" s="107"/>
    </row>
    <row r="164" spans="1:19" ht="13.8" thickBot="1">
      <c r="A164" s="111" t="s">
        <v>6</v>
      </c>
      <c r="B164" s="71" t="s">
        <v>131</v>
      </c>
      <c r="C164" s="71"/>
      <c r="D164" s="71"/>
      <c r="E164" s="71"/>
      <c r="F164" s="71"/>
      <c r="G164" s="71"/>
      <c r="J164" s="107"/>
      <c r="K164" s="107"/>
    </row>
    <row r="165" spans="1:19">
      <c r="A165" s="78">
        <v>1</v>
      </c>
      <c r="B165" s="71" t="s">
        <v>407</v>
      </c>
      <c r="C165" s="71" t="s">
        <v>615</v>
      </c>
      <c r="D165" s="107"/>
      <c r="E165" s="107"/>
      <c r="F165" s="107"/>
      <c r="G165" s="107"/>
      <c r="H165" s="107"/>
      <c r="I165" s="282">
        <f>'Act Att-H'!I169</f>
        <v>121038434.95615387</v>
      </c>
      <c r="J165" s="107"/>
      <c r="K165" s="107"/>
    </row>
    <row r="166" spans="1:19">
      <c r="A166" s="78">
        <v>2</v>
      </c>
      <c r="B166" s="71" t="s">
        <v>408</v>
      </c>
      <c r="C166" s="71" t="s">
        <v>616</v>
      </c>
      <c r="I166" s="282">
        <f>'Act Att-H'!I170</f>
        <v>0</v>
      </c>
      <c r="J166" s="107"/>
      <c r="K166" s="107"/>
    </row>
    <row r="167" spans="1:19">
      <c r="A167" s="78">
        <v>3</v>
      </c>
      <c r="B167" s="71" t="s">
        <v>409</v>
      </c>
      <c r="C167" s="71" t="s">
        <v>617</v>
      </c>
      <c r="D167" s="107"/>
      <c r="E167" s="107"/>
      <c r="F167" s="107"/>
      <c r="G167" s="108"/>
      <c r="H167" s="107"/>
      <c r="I167" s="282">
        <f>'Act Att-H'!I171</f>
        <v>7229733.6946153846</v>
      </c>
      <c r="J167" s="107"/>
      <c r="K167" s="107"/>
    </row>
    <row r="168" spans="1:19">
      <c r="A168" s="78">
        <v>4</v>
      </c>
      <c r="B168" s="181" t="s">
        <v>410</v>
      </c>
      <c r="C168" s="181" t="s">
        <v>411</v>
      </c>
      <c r="D168" s="107"/>
      <c r="E168" s="107"/>
      <c r="F168" s="107"/>
      <c r="G168" s="108"/>
      <c r="H168" s="107"/>
      <c r="I168" s="180">
        <f>I165-I166-I167</f>
        <v>113808701.26153849</v>
      </c>
      <c r="J168" s="107"/>
      <c r="K168" s="107"/>
    </row>
    <row r="169" spans="1:19" ht="9" customHeight="1">
      <c r="A169" s="78"/>
      <c r="C169" s="71"/>
      <c r="D169" s="107"/>
      <c r="E169" s="107"/>
      <c r="F169" s="107"/>
      <c r="G169" s="108"/>
      <c r="H169" s="107"/>
      <c r="J169" s="107"/>
      <c r="K169" s="107"/>
    </row>
    <row r="170" spans="1:19">
      <c r="A170" s="78">
        <v>5</v>
      </c>
      <c r="B170" s="71" t="s">
        <v>412</v>
      </c>
      <c r="C170" s="110" t="s">
        <v>413</v>
      </c>
      <c r="D170" s="110"/>
      <c r="E170" s="110"/>
      <c r="F170" s="110"/>
      <c r="G170" s="124"/>
      <c r="H170" s="107" t="s">
        <v>53</v>
      </c>
      <c r="I170" s="147">
        <f>IF(I165&gt;0,I168/I165,0)</f>
        <v>0.94026910793059781</v>
      </c>
      <c r="J170" s="107"/>
      <c r="K170" s="107"/>
      <c r="N170" s="148"/>
      <c r="O170" s="148"/>
      <c r="P170" s="148"/>
    </row>
    <row r="171" spans="1:19" ht="9" customHeight="1">
      <c r="A171" s="78"/>
      <c r="J171" s="107"/>
      <c r="K171" s="107"/>
      <c r="N171" s="71"/>
      <c r="P171" s="107"/>
      <c r="Q171" s="71"/>
    </row>
    <row r="172" spans="1:19">
      <c r="A172" s="78"/>
      <c r="B172" s="71" t="s">
        <v>51</v>
      </c>
      <c r="J172" s="107"/>
      <c r="K172" s="107"/>
      <c r="N172" s="817"/>
      <c r="O172" s="817"/>
      <c r="P172" s="817"/>
      <c r="Q172" s="817"/>
      <c r="R172" s="817"/>
      <c r="S172" s="817"/>
    </row>
    <row r="173" spans="1:19">
      <c r="A173" s="78">
        <v>6</v>
      </c>
      <c r="B173" s="103" t="s">
        <v>414</v>
      </c>
      <c r="C173" s="103" t="s">
        <v>424</v>
      </c>
      <c r="D173" s="71"/>
      <c r="E173" s="71"/>
      <c r="F173" s="71"/>
      <c r="G173" s="78"/>
      <c r="H173" s="71"/>
      <c r="I173" s="282">
        <f>D101</f>
        <v>41473274.985085271</v>
      </c>
      <c r="J173" s="107"/>
      <c r="K173" s="107"/>
      <c r="P173" s="107"/>
      <c r="Q173" s="71"/>
    </row>
    <row r="174" spans="1:19">
      <c r="A174" s="78">
        <v>7</v>
      </c>
      <c r="B174" s="71" t="s">
        <v>423</v>
      </c>
      <c r="C174" s="71" t="s">
        <v>618</v>
      </c>
      <c r="D174" s="107"/>
      <c r="E174" s="107"/>
      <c r="F174" s="107"/>
      <c r="G174" s="107"/>
      <c r="H174" s="107"/>
      <c r="I174" s="282">
        <f>'Act Att-H'!I178</f>
        <v>348863</v>
      </c>
      <c r="J174" s="107"/>
      <c r="K174" s="107"/>
      <c r="N174" s="150"/>
      <c r="O174" s="151"/>
      <c r="P174" s="107"/>
      <c r="Q174" s="71"/>
    </row>
    <row r="175" spans="1:19">
      <c r="A175" s="78">
        <v>8</v>
      </c>
      <c r="B175" s="181" t="s">
        <v>416</v>
      </c>
      <c r="C175" s="183" t="s">
        <v>415</v>
      </c>
      <c r="D175" s="110"/>
      <c r="E175" s="110"/>
      <c r="F175" s="110"/>
      <c r="G175" s="124"/>
      <c r="H175" s="110"/>
      <c r="I175" s="180">
        <f>+I173-I174</f>
        <v>41124411.985085271</v>
      </c>
      <c r="N175" s="152"/>
      <c r="O175" s="153"/>
      <c r="P175" s="154"/>
      <c r="Q175" s="154"/>
    </row>
    <row r="176" spans="1:19">
      <c r="A176" s="78"/>
      <c r="B176" s="71"/>
      <c r="C176" s="71"/>
      <c r="D176" s="107"/>
      <c r="E176" s="107"/>
      <c r="F176" s="107"/>
      <c r="G176" s="107"/>
      <c r="N176" s="152"/>
      <c r="O176" s="153"/>
    </row>
    <row r="177" spans="1:17">
      <c r="A177" s="78">
        <v>9</v>
      </c>
      <c r="B177" s="71" t="s">
        <v>417</v>
      </c>
      <c r="C177" s="71" t="s">
        <v>425</v>
      </c>
      <c r="D177" s="107"/>
      <c r="E177" s="107"/>
      <c r="F177" s="107"/>
      <c r="G177" s="107"/>
      <c r="H177" s="107"/>
      <c r="I177" s="131">
        <f>IF(I173&gt;0,I175/I173,0)</f>
        <v>0.99158824568049042</v>
      </c>
      <c r="N177" s="71"/>
      <c r="O177" s="155"/>
      <c r="P177" s="153"/>
      <c r="Q177" s="153"/>
    </row>
    <row r="178" spans="1:17">
      <c r="A178" s="78">
        <v>10</v>
      </c>
      <c r="B178" s="71" t="s">
        <v>418</v>
      </c>
      <c r="C178" s="71" t="s">
        <v>419</v>
      </c>
      <c r="D178" s="107"/>
      <c r="E178" s="107"/>
      <c r="F178" s="107"/>
      <c r="G178" s="107"/>
      <c r="H178" s="71" t="s">
        <v>11</v>
      </c>
      <c r="I178" s="131">
        <f>I170</f>
        <v>0.94026910793059781</v>
      </c>
      <c r="N178" s="150"/>
      <c r="O178" s="153"/>
      <c r="Q178" s="153"/>
    </row>
    <row r="179" spans="1:17">
      <c r="A179" s="78">
        <v>11</v>
      </c>
      <c r="B179" s="71" t="s">
        <v>421</v>
      </c>
      <c r="C179" s="71" t="s">
        <v>420</v>
      </c>
      <c r="D179" s="71"/>
      <c r="E179" s="71"/>
      <c r="F179" s="71"/>
      <c r="G179" s="71"/>
      <c r="H179" s="71" t="s">
        <v>52</v>
      </c>
      <c r="I179" s="114">
        <f>+I178*I177</f>
        <v>0.93235979520046119</v>
      </c>
      <c r="N179" s="150"/>
      <c r="O179" s="153"/>
      <c r="Q179" s="153"/>
    </row>
    <row r="180" spans="1:17">
      <c r="A180" s="78"/>
      <c r="C180" s="71"/>
      <c r="D180" s="107"/>
      <c r="E180" s="107"/>
      <c r="F180" s="107"/>
      <c r="G180" s="108"/>
      <c r="H180" s="107"/>
      <c r="N180" s="150"/>
      <c r="O180" s="153"/>
      <c r="Q180" s="156"/>
    </row>
    <row r="181" spans="1:17">
      <c r="A181" s="78" t="s">
        <v>2</v>
      </c>
      <c r="B181" s="71" t="s">
        <v>54</v>
      </c>
      <c r="C181" s="107"/>
      <c r="D181" s="107"/>
      <c r="E181" s="107"/>
      <c r="F181" s="107"/>
      <c r="G181" s="107"/>
      <c r="H181" s="107"/>
      <c r="I181" s="107"/>
      <c r="J181" s="107"/>
      <c r="K181" s="107"/>
      <c r="N181" s="152"/>
      <c r="O181" s="153"/>
      <c r="P181" s="107"/>
      <c r="Q181" s="71"/>
    </row>
    <row r="182" spans="1:17" ht="13.8" thickBot="1">
      <c r="A182" s="78" t="s">
        <v>2</v>
      </c>
      <c r="B182" s="71"/>
      <c r="C182" s="157" t="s">
        <v>578</v>
      </c>
      <c r="D182" s="158" t="s">
        <v>56</v>
      </c>
      <c r="E182" s="158" t="s">
        <v>11</v>
      </c>
      <c r="F182" s="107"/>
      <c r="G182" s="158" t="s">
        <v>57</v>
      </c>
      <c r="H182" s="107"/>
      <c r="I182" s="107"/>
      <c r="J182" s="107"/>
      <c r="K182" s="107"/>
      <c r="N182" s="152"/>
      <c r="O182" s="153"/>
      <c r="P182" s="107"/>
      <c r="Q182" s="71"/>
    </row>
    <row r="183" spans="1:17">
      <c r="A183" s="78">
        <v>12</v>
      </c>
      <c r="B183" s="71" t="s">
        <v>26</v>
      </c>
      <c r="C183" s="71" t="s">
        <v>601</v>
      </c>
      <c r="D183" s="282">
        <f>'Act Att-H'!D187</f>
        <v>3584748</v>
      </c>
      <c r="E183" s="159">
        <v>0</v>
      </c>
      <c r="F183" s="159"/>
      <c r="G183" s="115">
        <f>D183*E183</f>
        <v>0</v>
      </c>
      <c r="H183" s="107"/>
      <c r="I183" s="107"/>
      <c r="J183" s="107"/>
      <c r="K183" s="107"/>
    </row>
    <row r="184" spans="1:17">
      <c r="A184" s="78">
        <v>13</v>
      </c>
      <c r="B184" s="71" t="s">
        <v>28</v>
      </c>
      <c r="C184" s="71" t="s">
        <v>602</v>
      </c>
      <c r="D184" s="282">
        <f>'Act Att-H'!D188</f>
        <v>631016</v>
      </c>
      <c r="E184" s="160">
        <f>+I170</f>
        <v>0.94026910793059781</v>
      </c>
      <c r="F184" s="159"/>
      <c r="G184" s="115">
        <f>D184*E184</f>
        <v>593324.85140993411</v>
      </c>
      <c r="H184" s="107"/>
      <c r="I184" s="107"/>
      <c r="J184" s="107"/>
      <c r="K184" s="107"/>
    </row>
    <row r="185" spans="1:17">
      <c r="A185" s="78">
        <v>14</v>
      </c>
      <c r="B185" s="71" t="s">
        <v>29</v>
      </c>
      <c r="C185" s="71" t="s">
        <v>603</v>
      </c>
      <c r="D185" s="282">
        <f>'Act Att-H'!D189</f>
        <v>2333961</v>
      </c>
      <c r="E185" s="159">
        <v>0</v>
      </c>
      <c r="F185" s="159"/>
      <c r="G185" s="115">
        <f>D185*E185</f>
        <v>0</v>
      </c>
      <c r="H185" s="107"/>
      <c r="I185" s="108" t="s">
        <v>58</v>
      </c>
      <c r="J185" s="107"/>
      <c r="K185" s="107"/>
    </row>
    <row r="186" spans="1:17" ht="13.8" thickBot="1">
      <c r="A186" s="78">
        <v>15</v>
      </c>
      <c r="B186" s="71" t="s">
        <v>59</v>
      </c>
      <c r="C186" s="71" t="s">
        <v>604</v>
      </c>
      <c r="D186" s="282">
        <f>'Act Att-H'!D190</f>
        <v>550546</v>
      </c>
      <c r="E186" s="159">
        <v>0</v>
      </c>
      <c r="F186" s="159"/>
      <c r="G186" s="161">
        <f>D186*E186</f>
        <v>0</v>
      </c>
      <c r="H186" s="107"/>
      <c r="I186" s="111" t="s">
        <v>60</v>
      </c>
      <c r="J186" s="107"/>
      <c r="K186" s="107"/>
    </row>
    <row r="187" spans="1:17">
      <c r="A187" s="78">
        <v>16</v>
      </c>
      <c r="B187" s="71" t="s">
        <v>427</v>
      </c>
      <c r="C187" s="107" t="s">
        <v>426</v>
      </c>
      <c r="D187" s="180">
        <f>SUM(D183:D186)</f>
        <v>7100271</v>
      </c>
      <c r="E187" s="107"/>
      <c r="F187" s="107"/>
      <c r="G187" s="115">
        <f>SUM(G183:G186)</f>
        <v>593324.85140993411</v>
      </c>
      <c r="H187" s="78" t="s">
        <v>61</v>
      </c>
      <c r="I187" s="131">
        <f>IF(G187&gt;0,G187/D187,0)</f>
        <v>8.3563690936576104E-2</v>
      </c>
      <c r="J187" s="108" t="s">
        <v>61</v>
      </c>
      <c r="K187" s="143" t="s">
        <v>100</v>
      </c>
    </row>
    <row r="188" spans="1:17" ht="9" customHeight="1">
      <c r="A188" s="78"/>
      <c r="B188" s="71"/>
      <c r="C188" s="107"/>
      <c r="D188" s="107"/>
      <c r="E188" s="107"/>
      <c r="F188" s="107"/>
      <c r="G188" s="107"/>
      <c r="H188" s="107"/>
      <c r="I188" s="107"/>
      <c r="J188" s="107"/>
      <c r="K188" s="107"/>
    </row>
    <row r="189" spans="1:17">
      <c r="A189" s="78"/>
      <c r="B189" s="71" t="s">
        <v>153</v>
      </c>
      <c r="C189" s="107"/>
      <c r="D189" s="108" t="s">
        <v>56</v>
      </c>
      <c r="E189" s="107"/>
      <c r="F189" s="107"/>
      <c r="G189" s="108" t="s">
        <v>62</v>
      </c>
      <c r="H189" s="139" t="s">
        <v>2</v>
      </c>
      <c r="I189" s="132" t="str">
        <f>+I185</f>
        <v>W&amp;S Allocator</v>
      </c>
      <c r="J189" s="107"/>
      <c r="K189" s="107"/>
    </row>
    <row r="190" spans="1:17">
      <c r="A190" s="78">
        <v>17</v>
      </c>
      <c r="B190" s="71" t="s">
        <v>63</v>
      </c>
      <c r="C190" s="71" t="s">
        <v>605</v>
      </c>
      <c r="D190" s="282">
        <f>'Act Att-H'!D194</f>
        <v>758708126</v>
      </c>
      <c r="E190" s="107"/>
      <c r="G190" s="78" t="s">
        <v>65</v>
      </c>
      <c r="H190" s="139"/>
      <c r="I190" s="78" t="s">
        <v>66</v>
      </c>
      <c r="J190" s="107"/>
      <c r="K190" s="78" t="s">
        <v>67</v>
      </c>
    </row>
    <row r="191" spans="1:17">
      <c r="A191" s="78">
        <v>18</v>
      </c>
      <c r="B191" s="71" t="s">
        <v>68</v>
      </c>
      <c r="C191" s="71" t="s">
        <v>606</v>
      </c>
      <c r="D191" s="282">
        <f>'Act Att-H'!D195</f>
        <v>0</v>
      </c>
      <c r="E191" s="107"/>
      <c r="G191" s="114">
        <f>IF(D193&gt;0,D190/D193,0)</f>
        <v>0.9801409562986001</v>
      </c>
      <c r="H191" s="108" t="s">
        <v>69</v>
      </c>
      <c r="I191" s="114">
        <f>I187</f>
        <v>8.3563690936576104E-2</v>
      </c>
      <c r="J191" s="139" t="s">
        <v>61</v>
      </c>
      <c r="K191" s="162">
        <f>I191*G191</f>
        <v>8.1904195946416361E-2</v>
      </c>
    </row>
    <row r="192" spans="1:17">
      <c r="A192" s="78">
        <v>19</v>
      </c>
      <c r="B192" s="71" t="s">
        <v>59</v>
      </c>
      <c r="C192" s="71" t="s">
        <v>607</v>
      </c>
      <c r="D192" s="282">
        <f>'Act Att-H'!D196</f>
        <v>15372501</v>
      </c>
      <c r="E192" s="107"/>
      <c r="F192" s="107"/>
      <c r="G192" s="107" t="s">
        <v>2</v>
      </c>
      <c r="H192" s="107"/>
      <c r="I192" s="107"/>
      <c r="J192" s="107"/>
      <c r="K192" s="107"/>
    </row>
    <row r="193" spans="1:11">
      <c r="A193" s="78">
        <v>20</v>
      </c>
      <c r="B193" s="181" t="s">
        <v>427</v>
      </c>
      <c r="C193" s="182" t="s">
        <v>428</v>
      </c>
      <c r="D193" s="180">
        <f>D190+D191+D192</f>
        <v>774080627</v>
      </c>
      <c r="E193" s="107"/>
      <c r="F193" s="107"/>
      <c r="G193" s="107"/>
      <c r="H193" s="107"/>
      <c r="I193" s="107"/>
      <c r="J193" s="107"/>
      <c r="K193" s="107"/>
    </row>
    <row r="194" spans="1:11" ht="9" customHeight="1">
      <c r="A194" s="78"/>
      <c r="B194" s="71"/>
      <c r="C194" s="107"/>
      <c r="E194" s="107"/>
      <c r="F194" s="107"/>
      <c r="G194" s="107"/>
      <c r="H194" s="107"/>
      <c r="I194" s="107"/>
      <c r="J194" s="107"/>
      <c r="K194" s="107"/>
    </row>
    <row r="195" spans="1:11" ht="13.8" thickBot="1">
      <c r="A195" s="78"/>
      <c r="B195" s="71" t="s">
        <v>70</v>
      </c>
      <c r="C195" s="107"/>
      <c r="D195" s="107"/>
      <c r="E195" s="107"/>
      <c r="F195" s="107"/>
      <c r="G195" s="107"/>
      <c r="H195" s="107"/>
      <c r="I195" s="158" t="s">
        <v>56</v>
      </c>
      <c r="J195" s="107"/>
      <c r="K195" s="107"/>
    </row>
    <row r="196" spans="1:11">
      <c r="A196" s="78">
        <v>21</v>
      </c>
      <c r="B196" s="107" t="s">
        <v>431</v>
      </c>
      <c r="C196" s="71" t="s">
        <v>608</v>
      </c>
      <c r="D196" s="107"/>
      <c r="E196" s="107"/>
      <c r="F196" s="107"/>
      <c r="G196" s="107"/>
      <c r="H196" s="107"/>
      <c r="I196" s="282">
        <f>'Act Att-H'!I200</f>
        <v>20968992</v>
      </c>
      <c r="J196" s="107"/>
      <c r="K196" s="107"/>
    </row>
    <row r="197" spans="1:11" ht="9" customHeight="1">
      <c r="A197" s="78"/>
      <c r="B197" s="107"/>
      <c r="C197" s="107"/>
      <c r="D197" s="107"/>
      <c r="E197" s="107"/>
      <c r="F197" s="107"/>
      <c r="G197" s="107"/>
      <c r="H197" s="107"/>
      <c r="I197" s="107"/>
      <c r="J197" s="107"/>
      <c r="K197" s="107"/>
    </row>
    <row r="198" spans="1:11">
      <c r="A198" s="78">
        <v>22</v>
      </c>
      <c r="B198" s="107" t="s">
        <v>430</v>
      </c>
      <c r="C198" s="71" t="s">
        <v>609</v>
      </c>
      <c r="D198" s="107"/>
      <c r="E198" s="107"/>
      <c r="F198" s="107"/>
      <c r="G198" s="107"/>
      <c r="H198" s="107"/>
      <c r="I198" s="282">
        <f>'Act Att-H'!I202</f>
        <v>0</v>
      </c>
      <c r="J198" s="107"/>
      <c r="K198" s="107"/>
    </row>
    <row r="199" spans="1:11" ht="9" customHeight="1">
      <c r="A199" s="78"/>
      <c r="B199" s="71"/>
      <c r="C199" s="107"/>
      <c r="D199" s="107"/>
      <c r="E199" s="107"/>
      <c r="F199" s="107"/>
      <c r="G199" s="107"/>
      <c r="H199" s="107"/>
      <c r="I199" s="107"/>
      <c r="J199" s="107"/>
      <c r="K199" s="107"/>
    </row>
    <row r="200" spans="1:11">
      <c r="A200" s="78"/>
      <c r="B200" s="165" t="s">
        <v>432</v>
      </c>
      <c r="C200" s="107"/>
      <c r="D200" s="107"/>
      <c r="E200" s="107"/>
      <c r="F200" s="107"/>
      <c r="G200" s="107"/>
      <c r="H200" s="107"/>
      <c r="I200" s="107"/>
      <c r="J200" s="107"/>
      <c r="K200" s="107"/>
    </row>
    <row r="201" spans="1:11">
      <c r="A201" s="78">
        <v>23</v>
      </c>
      <c r="B201" s="107" t="s">
        <v>435</v>
      </c>
      <c r="C201" s="71" t="s">
        <v>610</v>
      </c>
      <c r="D201" s="71"/>
      <c r="E201" s="107"/>
      <c r="F201" s="107"/>
      <c r="G201" s="107"/>
      <c r="H201" s="107"/>
      <c r="I201" s="282">
        <f>'Act Att-H'!I205</f>
        <v>279341856</v>
      </c>
      <c r="J201" s="107"/>
      <c r="K201" s="107"/>
    </row>
    <row r="202" spans="1:11">
      <c r="A202" s="78">
        <v>24</v>
      </c>
      <c r="B202" s="107" t="s">
        <v>436</v>
      </c>
      <c r="C202" s="71" t="s">
        <v>611</v>
      </c>
      <c r="D202" s="107"/>
      <c r="E202" s="107"/>
      <c r="F202" s="107"/>
      <c r="G202" s="107"/>
      <c r="H202" s="107"/>
      <c r="I202" s="282">
        <f>'Act Att-H'!I206</f>
        <v>0</v>
      </c>
      <c r="J202" s="107"/>
      <c r="K202" s="107"/>
    </row>
    <row r="203" spans="1:11">
      <c r="A203" s="78">
        <v>25</v>
      </c>
      <c r="B203" s="71" t="s">
        <v>437</v>
      </c>
      <c r="C203" s="71" t="s">
        <v>612</v>
      </c>
      <c r="D203" s="107"/>
      <c r="E203" s="107"/>
      <c r="F203" s="107"/>
      <c r="G203" s="107"/>
      <c r="H203" s="107"/>
      <c r="I203" s="282">
        <f>'Act Att-H'!I207</f>
        <v>0</v>
      </c>
      <c r="J203" s="107"/>
      <c r="K203" s="107"/>
    </row>
    <row r="204" spans="1:11">
      <c r="A204" s="78">
        <v>26</v>
      </c>
      <c r="B204" s="71" t="s">
        <v>952</v>
      </c>
      <c r="C204" s="71" t="s">
        <v>963</v>
      </c>
      <c r="D204" s="107"/>
      <c r="E204" s="107"/>
      <c r="F204" s="107"/>
      <c r="G204" s="107"/>
      <c r="H204" s="107"/>
      <c r="I204" s="282">
        <f>'Act Att-H'!I208</f>
        <v>0</v>
      </c>
      <c r="J204" s="107"/>
      <c r="K204" s="107"/>
    </row>
    <row r="205" spans="1:11">
      <c r="A205" s="78">
        <v>27</v>
      </c>
      <c r="B205" s="181" t="s">
        <v>71</v>
      </c>
      <c r="C205" s="183" t="s">
        <v>964</v>
      </c>
      <c r="D205" s="115"/>
      <c r="E205" s="71"/>
      <c r="F205" s="71"/>
      <c r="G205" s="71"/>
      <c r="H205" s="71"/>
      <c r="I205" s="180">
        <f>I201-I202-I203-I204</f>
        <v>279341856</v>
      </c>
      <c r="J205" s="107"/>
      <c r="K205" s="107"/>
    </row>
    <row r="206" spans="1:11">
      <c r="A206" s="78"/>
      <c r="B206" s="71"/>
      <c r="C206" s="107"/>
      <c r="D206" s="107"/>
      <c r="E206" s="107"/>
      <c r="F206" s="107"/>
      <c r="G206" s="108"/>
      <c r="H206" s="107"/>
      <c r="I206" s="107"/>
      <c r="J206" s="107"/>
      <c r="K206" s="107"/>
    </row>
    <row r="207" spans="1:11" ht="13.8" thickBot="1">
      <c r="A207" s="78"/>
      <c r="B207" s="71"/>
      <c r="C207" s="107"/>
      <c r="D207" s="111" t="s">
        <v>56</v>
      </c>
      <c r="E207" s="111" t="s">
        <v>73</v>
      </c>
      <c r="F207" s="107"/>
      <c r="G207" s="185" t="s">
        <v>72</v>
      </c>
      <c r="H207" s="107"/>
      <c r="I207" s="111" t="s">
        <v>74</v>
      </c>
      <c r="J207" s="107"/>
      <c r="K207" s="107"/>
    </row>
    <row r="208" spans="1:11">
      <c r="A208" s="78">
        <v>28</v>
      </c>
      <c r="B208" s="71" t="s">
        <v>440</v>
      </c>
      <c r="C208" s="71" t="s">
        <v>613</v>
      </c>
      <c r="D208" s="282">
        <f>'Act Att-H'!D212</f>
        <v>335300000</v>
      </c>
      <c r="E208" s="166">
        <f>IF($D$211&gt;0,D208/$D$211,0)</f>
        <v>0.54552093504025867</v>
      </c>
      <c r="F208" s="167"/>
      <c r="G208" s="682">
        <f>IF(D208&gt;0,I196/D208,0)</f>
        <v>6.2538001789442285E-2</v>
      </c>
      <c r="I208" s="168">
        <f>G208*E208</f>
        <v>3.4115789211725922E-2</v>
      </c>
      <c r="J208" s="169" t="s">
        <v>75</v>
      </c>
    </row>
    <row r="209" spans="1:11">
      <c r="A209" s="78">
        <v>29</v>
      </c>
      <c r="B209" s="71" t="s">
        <v>441</v>
      </c>
      <c r="C209" s="71" t="s">
        <v>614</v>
      </c>
      <c r="D209" s="282">
        <f>'Act Att-H'!D213</f>
        <v>0</v>
      </c>
      <c r="E209" s="166">
        <f>IF($D$211&gt;0,D209/$D$211,0)</f>
        <v>0</v>
      </c>
      <c r="F209" s="167"/>
      <c r="G209" s="682">
        <f>IF(D209&gt;0,I198/D209,0)</f>
        <v>0</v>
      </c>
      <c r="I209" s="168">
        <f>G209*E209</f>
        <v>0</v>
      </c>
      <c r="J209" s="107"/>
    </row>
    <row r="210" spans="1:11" ht="13.8" thickBot="1">
      <c r="A210" s="78">
        <v>30</v>
      </c>
      <c r="B210" s="71" t="s">
        <v>442</v>
      </c>
      <c r="C210" s="71" t="s">
        <v>1213</v>
      </c>
      <c r="D210" s="282">
        <f>'Act Att-H'!D214</f>
        <v>279341856</v>
      </c>
      <c r="E210" s="166">
        <f>IF($D$211&gt;0,D210/$D$211,0)</f>
        <v>0.45447906495974139</v>
      </c>
      <c r="F210" s="167"/>
      <c r="G210" s="682">
        <f>'Act Att-H'!G214</f>
        <v>9.9000000000000005E-2</v>
      </c>
      <c r="I210" s="170">
        <f>G210*E210</f>
        <v>4.49934274310144E-2</v>
      </c>
      <c r="J210" s="107"/>
    </row>
    <row r="211" spans="1:11">
      <c r="A211" s="78">
        <v>31</v>
      </c>
      <c r="B211" s="181" t="s">
        <v>388</v>
      </c>
      <c r="C211" s="183" t="s">
        <v>910</v>
      </c>
      <c r="D211" s="180">
        <f>D210+D209+D208</f>
        <v>614641856</v>
      </c>
      <c r="E211" s="107" t="s">
        <v>2</v>
      </c>
      <c r="F211" s="107"/>
      <c r="G211" s="107"/>
      <c r="H211" s="107"/>
      <c r="I211" s="168">
        <f>SUM(I208:I210)</f>
        <v>7.9109216642740315E-2</v>
      </c>
      <c r="J211" s="169" t="s">
        <v>76</v>
      </c>
    </row>
    <row r="212" spans="1:11" ht="9" customHeight="1">
      <c r="E212" s="107"/>
      <c r="F212" s="107"/>
      <c r="G212" s="107"/>
      <c r="H212" s="107"/>
    </row>
    <row r="213" spans="1:11">
      <c r="A213" s="71"/>
      <c r="B213" s="71"/>
      <c r="C213" s="71"/>
      <c r="D213" s="107"/>
      <c r="E213" s="107"/>
      <c r="F213" s="133"/>
      <c r="G213" s="107"/>
      <c r="H213" s="107"/>
      <c r="I213" s="107"/>
      <c r="J213" s="107"/>
      <c r="K213" s="107"/>
    </row>
    <row r="214" spans="1:11">
      <c r="A214" s="78">
        <v>32</v>
      </c>
      <c r="B214" s="71" t="s">
        <v>702</v>
      </c>
      <c r="C214" s="71" t="s">
        <v>724</v>
      </c>
      <c r="D214" s="104"/>
      <c r="E214" s="71"/>
      <c r="F214" s="71"/>
      <c r="G214" s="71"/>
      <c r="H214" s="349"/>
      <c r="I214" s="282">
        <f>'P4-IncentPlant'!F47</f>
        <v>0</v>
      </c>
      <c r="J214" s="349"/>
      <c r="K214" s="349"/>
    </row>
    <row r="215" spans="1:11">
      <c r="B215" s="71"/>
      <c r="C215" s="71"/>
      <c r="D215" s="104"/>
      <c r="E215" s="71"/>
      <c r="F215" s="71"/>
      <c r="G215" s="775"/>
      <c r="H215" s="775"/>
      <c r="I215" s="775"/>
      <c r="J215" s="775"/>
      <c r="K215" s="775"/>
    </row>
    <row r="216" spans="1:11">
      <c r="B216" s="71"/>
      <c r="C216" s="71"/>
      <c r="D216" s="104"/>
      <c r="E216" s="71"/>
      <c r="F216" s="71"/>
      <c r="G216" s="71"/>
      <c r="H216" s="71"/>
      <c r="I216" s="776" t="str">
        <f>I1</f>
        <v>Projected Attachment H</v>
      </c>
      <c r="J216" s="776"/>
      <c r="K216" s="776"/>
    </row>
    <row r="217" spans="1:11">
      <c r="B217" s="71"/>
      <c r="C217" s="71"/>
      <c r="D217" s="104"/>
      <c r="E217" s="71"/>
      <c r="F217" s="71"/>
      <c r="G217" s="71"/>
      <c r="H217" s="71"/>
      <c r="I217" s="71"/>
      <c r="J217" s="775" t="s">
        <v>359</v>
      </c>
      <c r="K217" s="775"/>
    </row>
    <row r="218" spans="1:11">
      <c r="B218" s="71"/>
      <c r="C218" s="71"/>
      <c r="D218" s="104"/>
      <c r="E218" s="71"/>
      <c r="F218" s="71"/>
      <c r="G218" s="71"/>
      <c r="H218" s="71"/>
      <c r="I218" s="71"/>
      <c r="J218" s="71"/>
      <c r="K218" s="105"/>
    </row>
    <row r="219" spans="1:11">
      <c r="B219" s="104" t="s">
        <v>0</v>
      </c>
      <c r="C219" s="78" t="s">
        <v>1</v>
      </c>
      <c r="E219" s="71"/>
      <c r="F219" s="71"/>
      <c r="G219" s="71"/>
      <c r="H219" s="71"/>
      <c r="I219" s="71"/>
      <c r="J219" s="71"/>
      <c r="K219" s="121" t="str">
        <f>K4</f>
        <v>Estimated - For the 12 months ended 12/31/2025</v>
      </c>
    </row>
    <row r="220" spans="1:11">
      <c r="B220" s="71"/>
      <c r="C220" s="108" t="s">
        <v>3</v>
      </c>
      <c r="E220" s="107"/>
      <c r="F220" s="107"/>
      <c r="G220" s="107"/>
      <c r="H220" s="71"/>
      <c r="I220" s="71"/>
      <c r="J220" s="71"/>
      <c r="K220" s="71"/>
    </row>
    <row r="221" spans="1:11">
      <c r="A221" s="78"/>
      <c r="C221" s="107"/>
      <c r="E221" s="107"/>
      <c r="F221" s="107"/>
      <c r="G221" s="107"/>
      <c r="H221" s="71"/>
      <c r="I221" s="152"/>
      <c r="K221" s="107"/>
    </row>
    <row r="222" spans="1:11">
      <c r="A222" s="78"/>
      <c r="C222" s="171" t="str">
        <f>C7</f>
        <v>Cheyenne Light, Fuel &amp; Power</v>
      </c>
      <c r="E222" s="107"/>
      <c r="F222" s="107"/>
      <c r="G222" s="107"/>
      <c r="H222" s="71"/>
      <c r="I222" s="152"/>
      <c r="K222" s="107"/>
    </row>
    <row r="223" spans="1:11">
      <c r="A223" s="78"/>
      <c r="C223" s="171"/>
      <c r="E223" s="107"/>
      <c r="F223" s="107"/>
      <c r="G223" s="107"/>
      <c r="H223" s="71"/>
      <c r="I223" s="152"/>
      <c r="K223" s="107"/>
    </row>
    <row r="224" spans="1:11" ht="15.75" customHeight="1">
      <c r="A224" s="78"/>
      <c r="B224" s="78" t="s">
        <v>15</v>
      </c>
      <c r="C224" s="78" t="s">
        <v>16</v>
      </c>
      <c r="D224" s="78" t="s">
        <v>17</v>
      </c>
      <c r="E224" s="107" t="s">
        <v>2</v>
      </c>
      <c r="F224" s="107"/>
      <c r="G224" s="123" t="s">
        <v>18</v>
      </c>
      <c r="H224" s="107"/>
      <c r="I224" s="124" t="s">
        <v>19</v>
      </c>
      <c r="K224" s="107"/>
    </row>
    <row r="225" spans="1:11">
      <c r="A225" s="78" t="s">
        <v>4</v>
      </c>
      <c r="B225" s="71"/>
      <c r="C225" s="125"/>
      <c r="D225" s="107"/>
      <c r="E225" s="107"/>
      <c r="F225" s="107"/>
      <c r="G225" s="78"/>
      <c r="H225" s="107"/>
      <c r="I225" s="126" t="s">
        <v>21</v>
      </c>
      <c r="J225" s="107"/>
      <c r="K225" s="107"/>
    </row>
    <row r="226" spans="1:11" ht="13.8" thickBot="1">
      <c r="A226" s="111" t="s">
        <v>6</v>
      </c>
      <c r="B226" s="71"/>
      <c r="C226" s="127" t="s">
        <v>578</v>
      </c>
      <c r="D226" s="126" t="s">
        <v>23</v>
      </c>
      <c r="E226" s="128"/>
      <c r="F226" s="126" t="s">
        <v>24</v>
      </c>
      <c r="H226" s="128"/>
      <c r="I226" s="78" t="s">
        <v>25</v>
      </c>
      <c r="J226" s="107"/>
      <c r="K226" s="107"/>
    </row>
    <row r="227" spans="1:11">
      <c r="A227" s="78"/>
      <c r="C227" s="78"/>
      <c r="D227" s="107"/>
      <c r="E227" s="107"/>
      <c r="F227" s="107"/>
      <c r="G227" s="107"/>
      <c r="H227" s="71"/>
      <c r="I227" s="152"/>
      <c r="J227" s="107"/>
      <c r="K227" s="107"/>
    </row>
    <row r="228" spans="1:11">
      <c r="A228" s="78"/>
      <c r="B228" s="71" t="s">
        <v>750</v>
      </c>
      <c r="C228" s="107"/>
      <c r="D228" s="108" t="s">
        <v>56</v>
      </c>
      <c r="E228" s="107"/>
      <c r="F228" s="107"/>
      <c r="G228" s="108"/>
      <c r="H228" s="139" t="s">
        <v>2</v>
      </c>
      <c r="I228" s="132"/>
      <c r="J228" s="107"/>
      <c r="K228" s="107"/>
    </row>
    <row r="229" spans="1:11">
      <c r="A229" s="78">
        <v>1</v>
      </c>
      <c r="B229" s="71" t="s">
        <v>26</v>
      </c>
      <c r="C229" s="107" t="s">
        <v>752</v>
      </c>
      <c r="D229" s="282">
        <f>'Act Att-H'!D45</f>
        <v>351822632.04923081</v>
      </c>
      <c r="E229" s="107"/>
      <c r="F229" s="107" t="s">
        <v>27</v>
      </c>
      <c r="G229" s="130" t="s">
        <v>2</v>
      </c>
      <c r="H229" s="107"/>
      <c r="I229" s="107" t="s">
        <v>2</v>
      </c>
      <c r="J229" s="107"/>
      <c r="K229" s="78"/>
    </row>
    <row r="230" spans="1:11">
      <c r="A230" s="78">
        <v>2</v>
      </c>
      <c r="B230" s="71" t="s">
        <v>28</v>
      </c>
      <c r="C230" s="107" t="s">
        <v>760</v>
      </c>
      <c r="D230" s="282">
        <f>D49</f>
        <v>214013131.49161464</v>
      </c>
      <c r="E230" s="107"/>
      <c r="F230" s="107" t="s">
        <v>11</v>
      </c>
      <c r="G230" s="131">
        <f>I170</f>
        <v>0.94026910793059781</v>
      </c>
      <c r="H230" s="107"/>
      <c r="I230" s="63">
        <f>+G230*D230</f>
        <v>201229936.23305422</v>
      </c>
      <c r="J230" s="139"/>
      <c r="K230" s="162"/>
    </row>
    <row r="231" spans="1:11">
      <c r="A231" s="78">
        <v>3</v>
      </c>
      <c r="B231" s="71" t="s">
        <v>29</v>
      </c>
      <c r="C231" s="107" t="s">
        <v>757</v>
      </c>
      <c r="D231" s="282">
        <f>'Act Att-H'!D47</f>
        <v>268799087.43716753</v>
      </c>
      <c r="E231" s="107"/>
      <c r="F231" s="107" t="s">
        <v>27</v>
      </c>
      <c r="G231" s="130" t="s">
        <v>2</v>
      </c>
      <c r="H231" s="107"/>
      <c r="I231" s="63" t="s">
        <v>2</v>
      </c>
      <c r="J231" s="107"/>
      <c r="K231" s="107"/>
    </row>
    <row r="232" spans="1:11">
      <c r="A232" s="78">
        <v>4</v>
      </c>
      <c r="B232" s="71" t="s">
        <v>30</v>
      </c>
      <c r="C232" s="107" t="s">
        <v>758</v>
      </c>
      <c r="D232" s="282">
        <f>'Act Att-H'!D48</f>
        <v>22301501.181538455</v>
      </c>
      <c r="E232" s="107"/>
      <c r="F232" s="107" t="s">
        <v>31</v>
      </c>
      <c r="G232" s="131">
        <f>I187</f>
        <v>8.3563690936576104E-2</v>
      </c>
      <c r="H232" s="107"/>
      <c r="I232" s="63">
        <f>+G232*D232</f>
        <v>1863595.7521557664</v>
      </c>
      <c r="J232" s="107"/>
      <c r="K232" s="107"/>
    </row>
    <row r="233" spans="1:11">
      <c r="A233" s="78">
        <v>5</v>
      </c>
      <c r="B233" s="71" t="s">
        <v>32</v>
      </c>
      <c r="C233" s="107" t="s">
        <v>759</v>
      </c>
      <c r="D233" s="282">
        <f>'Act Att-H'!D49</f>
        <v>13472901.923076924</v>
      </c>
      <c r="E233" s="107"/>
      <c r="F233" s="107" t="s">
        <v>67</v>
      </c>
      <c r="G233" s="131">
        <f>K191</f>
        <v>8.1904195946416361E-2</v>
      </c>
      <c r="H233" s="107"/>
      <c r="I233" s="63">
        <f>+G233*D233</f>
        <v>1103487.1990745421</v>
      </c>
      <c r="J233" s="107"/>
      <c r="K233" s="107"/>
    </row>
    <row r="234" spans="1:11">
      <c r="A234" s="78">
        <v>6</v>
      </c>
      <c r="B234" s="181" t="s">
        <v>427</v>
      </c>
      <c r="C234" s="182" t="s">
        <v>428</v>
      </c>
      <c r="D234" s="180">
        <f>SUM(D229:D233)</f>
        <v>870409254.08262825</v>
      </c>
      <c r="E234" s="107"/>
      <c r="F234" s="182" t="s">
        <v>33</v>
      </c>
      <c r="G234" s="548">
        <f>IF(I234&gt;0,I234/D234,0)</f>
        <v>0.23459886050901296</v>
      </c>
      <c r="H234" s="107"/>
      <c r="I234" s="184">
        <f>SUM(I229:I233)</f>
        <v>204197019.18428454</v>
      </c>
      <c r="J234" s="107"/>
      <c r="K234" s="107"/>
    </row>
    <row r="235" spans="1:11">
      <c r="A235" s="78"/>
      <c r="B235" s="71"/>
      <c r="C235" s="107"/>
      <c r="D235" s="115"/>
      <c r="E235" s="107"/>
      <c r="F235" s="107"/>
      <c r="G235" s="107"/>
      <c r="H235" s="107"/>
      <c r="I235" s="107"/>
      <c r="J235" s="107"/>
      <c r="K235" s="107"/>
    </row>
    <row r="236" spans="1:11">
      <c r="A236" s="78"/>
      <c r="B236" s="71" t="s">
        <v>751</v>
      </c>
      <c r="C236" s="107"/>
      <c r="D236" s="108" t="s">
        <v>56</v>
      </c>
      <c r="E236" s="107"/>
      <c r="F236" s="107"/>
      <c r="G236" s="108"/>
      <c r="H236" s="139" t="s">
        <v>2</v>
      </c>
      <c r="I236" s="132"/>
      <c r="J236" s="107"/>
      <c r="K236" s="107"/>
    </row>
    <row r="237" spans="1:11">
      <c r="A237" s="78">
        <v>7</v>
      </c>
      <c r="B237" s="71" t="s">
        <v>26</v>
      </c>
      <c r="C237" s="107" t="s">
        <v>753</v>
      </c>
      <c r="D237" s="282">
        <f>'Act Att-H'!D61</f>
        <v>273832189.84307694</v>
      </c>
      <c r="E237" s="107"/>
      <c r="F237" s="107" t="s">
        <v>27</v>
      </c>
      <c r="G237" s="130" t="s">
        <v>2</v>
      </c>
      <c r="H237" s="107"/>
      <c r="I237" s="107" t="s">
        <v>2</v>
      </c>
      <c r="J237" s="107"/>
      <c r="K237" s="78"/>
    </row>
    <row r="238" spans="1:11">
      <c r="A238" s="78">
        <v>8</v>
      </c>
      <c r="B238" s="71" t="s">
        <v>28</v>
      </c>
      <c r="C238" s="107" t="s">
        <v>761</v>
      </c>
      <c r="D238" s="282">
        <f>D59</f>
        <v>199151836.92787391</v>
      </c>
      <c r="E238" s="107"/>
      <c r="F238" s="107" t="s">
        <v>11</v>
      </c>
      <c r="G238" s="131">
        <f>G230</f>
        <v>0.94026910793059781</v>
      </c>
      <c r="H238" s="107"/>
      <c r="I238" s="63">
        <f>+G238*D238</f>
        <v>187256320.05091187</v>
      </c>
      <c r="J238" s="139"/>
      <c r="K238" s="162"/>
    </row>
    <row r="239" spans="1:11">
      <c r="A239" s="78">
        <v>9</v>
      </c>
      <c r="B239" s="71" t="s">
        <v>29</v>
      </c>
      <c r="C239" s="107" t="s">
        <v>754</v>
      </c>
      <c r="D239" s="282">
        <f>'Act Att-H'!D63</f>
        <v>195442984.20046222</v>
      </c>
      <c r="E239" s="107"/>
      <c r="F239" s="107" t="s">
        <v>27</v>
      </c>
      <c r="G239" s="130" t="s">
        <v>2</v>
      </c>
      <c r="H239" s="107"/>
      <c r="I239" s="63" t="s">
        <v>2</v>
      </c>
      <c r="J239" s="107"/>
      <c r="K239" s="107"/>
    </row>
    <row r="240" spans="1:11">
      <c r="A240" s="78">
        <v>10</v>
      </c>
      <c r="B240" s="71" t="s">
        <v>30</v>
      </c>
      <c r="C240" s="107" t="s">
        <v>755</v>
      </c>
      <c r="D240" s="282">
        <f>'Act Att-H'!D64</f>
        <v>16051088.860569114</v>
      </c>
      <c r="E240" s="107"/>
      <c r="F240" s="107" t="s">
        <v>31</v>
      </c>
      <c r="G240" s="131">
        <f>G232</f>
        <v>8.3563690936576104E-2</v>
      </c>
      <c r="H240" s="107"/>
      <c r="I240" s="63">
        <f>+G240*D240</f>
        <v>1341288.2287401168</v>
      </c>
      <c r="J240" s="107"/>
      <c r="K240" s="107"/>
    </row>
    <row r="241" spans="1:11">
      <c r="A241" s="78">
        <v>11</v>
      </c>
      <c r="B241" s="71" t="s">
        <v>32</v>
      </c>
      <c r="C241" s="107" t="s">
        <v>756</v>
      </c>
      <c r="D241" s="282">
        <f>'Act Att-H'!D65</f>
        <v>9264935.9230769239</v>
      </c>
      <c r="E241" s="107"/>
      <c r="F241" s="107" t="s">
        <v>67</v>
      </c>
      <c r="G241" s="131">
        <f>G233</f>
        <v>8.1904195946416361E-2</v>
      </c>
      <c r="H241" s="107"/>
      <c r="I241" s="63">
        <f>+G241*D241</f>
        <v>758837.12727468438</v>
      </c>
      <c r="J241" s="107"/>
      <c r="K241" s="107"/>
    </row>
    <row r="242" spans="1:11">
      <c r="A242" s="78">
        <v>12</v>
      </c>
      <c r="B242" s="181" t="s">
        <v>427</v>
      </c>
      <c r="C242" s="182" t="s">
        <v>428</v>
      </c>
      <c r="D242" s="180">
        <f>SUM(D237:D241)</f>
        <v>693743035.75505912</v>
      </c>
      <c r="E242" s="107"/>
      <c r="F242" s="182" t="s">
        <v>34</v>
      </c>
      <c r="G242" s="548">
        <f>IF(I242&gt;0,I242/D242,0)</f>
        <v>0.27294896762579257</v>
      </c>
      <c r="H242" s="107"/>
      <c r="I242" s="184">
        <f>SUM(I237:I241)</f>
        <v>189356445.40692669</v>
      </c>
      <c r="J242" s="107"/>
      <c r="K242" s="107"/>
    </row>
    <row r="243" spans="1:11">
      <c r="A243" s="78"/>
      <c r="B243" s="71"/>
      <c r="C243" s="107"/>
      <c r="D243" s="115"/>
      <c r="E243" s="107"/>
      <c r="F243" s="107"/>
      <c r="G243" s="107"/>
      <c r="H243" s="107"/>
      <c r="I243" s="107"/>
      <c r="J243" s="71"/>
      <c r="K243" s="107"/>
    </row>
    <row r="244" spans="1:11">
      <c r="A244" s="78"/>
      <c r="B244" s="71"/>
      <c r="C244" s="107"/>
      <c r="D244" s="115"/>
      <c r="E244" s="107"/>
      <c r="F244" s="107"/>
      <c r="G244" s="107"/>
      <c r="H244" s="107"/>
      <c r="I244" s="107"/>
      <c r="J244" s="71"/>
      <c r="K244" s="107"/>
    </row>
    <row r="245" spans="1:11">
      <c r="A245" s="78"/>
      <c r="B245" s="71"/>
      <c r="C245" s="107"/>
      <c r="D245" s="115"/>
      <c r="E245" s="107"/>
      <c r="F245" s="107"/>
      <c r="G245" s="107"/>
      <c r="H245" s="107"/>
      <c r="I245" s="107"/>
      <c r="J245" s="71"/>
      <c r="K245" s="107"/>
    </row>
    <row r="246" spans="1:11">
      <c r="A246" s="78"/>
      <c r="B246" s="71" t="s">
        <v>120</v>
      </c>
      <c r="C246" s="78"/>
      <c r="D246" s="107"/>
      <c r="E246" s="107"/>
      <c r="F246" s="107"/>
      <c r="G246" s="107"/>
      <c r="H246" s="71"/>
      <c r="I246" s="107"/>
      <c r="J246" s="71"/>
      <c r="K246" s="107"/>
    </row>
    <row r="247" spans="1:11" ht="41.25" customHeight="1">
      <c r="A247" s="78"/>
      <c r="B247" s="172" t="s">
        <v>119</v>
      </c>
      <c r="C247" s="78"/>
      <c r="D247" s="107"/>
      <c r="E247" s="107"/>
      <c r="F247" s="107"/>
      <c r="G247" s="107"/>
      <c r="H247" s="71"/>
      <c r="I247" s="107"/>
      <c r="J247" s="446"/>
      <c r="K247" s="446"/>
    </row>
    <row r="248" spans="1:11">
      <c r="A248" s="78" t="s">
        <v>77</v>
      </c>
      <c r="B248" s="71"/>
      <c r="C248" s="71"/>
      <c r="D248" s="107"/>
      <c r="E248" s="107"/>
      <c r="F248" s="107"/>
      <c r="G248" s="107"/>
      <c r="H248" s="71"/>
      <c r="I248" s="107"/>
      <c r="J248" s="71"/>
      <c r="K248" s="71"/>
    </row>
    <row r="249" spans="1:11" ht="13.8" thickBot="1">
      <c r="A249" s="111" t="s">
        <v>78</v>
      </c>
      <c r="B249" s="71"/>
      <c r="C249" s="71"/>
      <c r="D249" s="107"/>
      <c r="E249" s="107"/>
      <c r="F249" s="107"/>
      <c r="G249" s="107"/>
      <c r="H249" s="71"/>
      <c r="I249" s="107"/>
      <c r="J249" s="71"/>
      <c r="K249" s="71"/>
    </row>
    <row r="250" spans="1:11" ht="55.5" customHeight="1">
      <c r="A250" s="79" t="s">
        <v>79</v>
      </c>
      <c r="B250" s="779" t="s">
        <v>147</v>
      </c>
      <c r="C250" s="779"/>
      <c r="D250" s="779"/>
      <c r="E250" s="779"/>
      <c r="F250" s="779"/>
      <c r="G250" s="779"/>
      <c r="H250" s="779"/>
      <c r="I250" s="779"/>
      <c r="J250" s="71"/>
      <c r="K250" s="71"/>
    </row>
    <row r="251" spans="1:11">
      <c r="A251" s="85" t="s">
        <v>2</v>
      </c>
      <c r="B251" s="71" t="s">
        <v>450</v>
      </c>
      <c r="C251" s="71" t="s">
        <v>93</v>
      </c>
      <c r="D251" s="173">
        <v>0.21</v>
      </c>
      <c r="E251" s="71" t="s">
        <v>451</v>
      </c>
      <c r="F251" s="71"/>
      <c r="G251" s="71"/>
      <c r="H251" s="71"/>
      <c r="I251" s="71"/>
      <c r="J251" s="92"/>
      <c r="K251" s="92"/>
    </row>
    <row r="252" spans="1:11">
      <c r="A252" s="85"/>
      <c r="B252" s="71"/>
      <c r="C252" s="71" t="s">
        <v>94</v>
      </c>
      <c r="D252" s="173">
        <v>0</v>
      </c>
      <c r="E252" s="71" t="s">
        <v>95</v>
      </c>
      <c r="F252" s="71"/>
      <c r="G252" s="71"/>
      <c r="H252" s="71"/>
      <c r="I252" s="71"/>
      <c r="J252" s="92"/>
      <c r="K252" s="92"/>
    </row>
    <row r="253" spans="1:11">
      <c r="A253" s="85"/>
      <c r="B253" s="71"/>
      <c r="C253" s="71" t="s">
        <v>96</v>
      </c>
      <c r="D253" s="173">
        <v>0</v>
      </c>
      <c r="E253" s="71" t="s">
        <v>97</v>
      </c>
      <c r="F253" s="71"/>
      <c r="G253" s="71"/>
      <c r="H253" s="71"/>
      <c r="I253" s="71"/>
      <c r="J253" s="92"/>
      <c r="K253" s="92"/>
    </row>
    <row r="254" spans="1:11">
      <c r="A254" s="93"/>
      <c r="B254" s="818"/>
      <c r="C254" s="818"/>
      <c r="D254" s="818"/>
      <c r="E254" s="818"/>
      <c r="F254" s="818"/>
      <c r="G254" s="818"/>
      <c r="H254" s="818"/>
      <c r="I254" s="818"/>
      <c r="J254" s="92"/>
      <c r="K254" s="92"/>
    </row>
    <row r="255" spans="1:11">
      <c r="A255" s="81" t="s">
        <v>80</v>
      </c>
      <c r="B255" s="103" t="s">
        <v>1029</v>
      </c>
      <c r="J255" s="92"/>
      <c r="K255" s="92"/>
    </row>
    <row r="256" spans="1:11">
      <c r="A256" s="27" t="s">
        <v>81</v>
      </c>
      <c r="B256" s="820" t="s">
        <v>1135</v>
      </c>
      <c r="C256" s="820"/>
      <c r="D256" s="820"/>
      <c r="E256" s="820"/>
      <c r="F256" s="820"/>
      <c r="G256" s="820"/>
      <c r="H256" s="820"/>
      <c r="I256" s="820"/>
      <c r="J256" s="92"/>
      <c r="K256" s="92"/>
    </row>
    <row r="257" spans="1:11">
      <c r="A257" s="90"/>
      <c r="B257" s="819"/>
      <c r="C257" s="819"/>
      <c r="D257" s="819"/>
      <c r="E257" s="819"/>
      <c r="F257" s="819"/>
      <c r="G257" s="819"/>
      <c r="H257" s="819"/>
      <c r="I257" s="819"/>
      <c r="J257" s="89"/>
      <c r="K257" s="89"/>
    </row>
    <row r="258" spans="1:11">
      <c r="A258" s="93"/>
      <c r="B258" s="818"/>
      <c r="C258" s="818"/>
      <c r="D258" s="818"/>
      <c r="E258" s="818"/>
      <c r="F258" s="818"/>
      <c r="G258" s="818"/>
      <c r="H258" s="818"/>
      <c r="I258" s="818"/>
      <c r="J258" s="89"/>
      <c r="K258" s="89"/>
    </row>
    <row r="259" spans="1:11">
      <c r="A259" s="90"/>
      <c r="C259" s="92"/>
      <c r="D259" s="92"/>
      <c r="E259" s="92"/>
      <c r="F259" s="92"/>
      <c r="G259" s="92"/>
      <c r="H259" s="92"/>
      <c r="I259" s="92"/>
      <c r="J259" s="96"/>
      <c r="K259" s="96"/>
    </row>
    <row r="260" spans="1:11">
      <c r="A260" s="95"/>
      <c r="B260" s="94"/>
      <c r="C260" s="89"/>
      <c r="D260" s="89"/>
      <c r="E260" s="89"/>
      <c r="F260" s="89"/>
      <c r="G260" s="89"/>
      <c r="H260" s="89"/>
      <c r="I260" s="89"/>
    </row>
    <row r="261" spans="1:11">
      <c r="A261" s="95"/>
      <c r="B261" s="89"/>
      <c r="C261" s="89"/>
      <c r="D261" s="89"/>
      <c r="E261" s="89"/>
      <c r="F261" s="89"/>
      <c r="G261" s="89"/>
      <c r="H261" s="89"/>
      <c r="I261" s="89"/>
    </row>
    <row r="262" spans="1:11">
      <c r="A262" s="93"/>
      <c r="B262" s="788"/>
      <c r="C262" s="788"/>
      <c r="D262" s="788"/>
      <c r="E262" s="788"/>
      <c r="F262" s="788"/>
      <c r="G262" s="788"/>
      <c r="H262" s="788"/>
      <c r="I262" s="788"/>
      <c r="J262" s="100"/>
      <c r="K262" s="100"/>
    </row>
    <row r="263" spans="1:11" ht="25.5" customHeight="1">
      <c r="A263" s="93"/>
      <c r="J263" s="101"/>
      <c r="K263" s="101"/>
    </row>
    <row r="264" spans="1:11">
      <c r="A264" s="93"/>
      <c r="J264" s="89"/>
      <c r="K264" s="89"/>
    </row>
    <row r="265" spans="1:11">
      <c r="A265" s="90"/>
      <c r="B265" s="97"/>
      <c r="C265" s="97"/>
      <c r="D265" s="97"/>
      <c r="E265" s="97"/>
      <c r="F265" s="97"/>
      <c r="G265" s="97"/>
      <c r="H265" s="98"/>
      <c r="I265" s="99"/>
      <c r="J265" s="89"/>
      <c r="K265" s="89"/>
    </row>
    <row r="266" spans="1:11">
      <c r="A266" s="90"/>
      <c r="J266" s="89"/>
      <c r="K266" s="89"/>
    </row>
    <row r="267" spans="1:11">
      <c r="A267" s="90"/>
      <c r="B267" s="89"/>
      <c r="C267" s="89"/>
      <c r="D267" s="89"/>
      <c r="E267" s="89"/>
      <c r="F267" s="89"/>
      <c r="G267" s="89"/>
      <c r="H267" s="89"/>
      <c r="I267" s="89"/>
      <c r="J267" s="89"/>
      <c r="K267" s="89"/>
    </row>
    <row r="268" spans="1:11">
      <c r="A268" s="90"/>
      <c r="B268" s="89"/>
      <c r="C268" s="89"/>
      <c r="D268" s="89"/>
      <c r="E268" s="89"/>
      <c r="F268" s="89"/>
      <c r="G268" s="89"/>
      <c r="H268" s="89"/>
      <c r="I268" s="89"/>
      <c r="J268" s="89"/>
      <c r="K268" s="89"/>
    </row>
    <row r="269" spans="1:11">
      <c r="A269" s="90"/>
      <c r="C269" s="89"/>
      <c r="D269" s="89"/>
      <c r="E269" s="89"/>
      <c r="F269" s="89"/>
      <c r="G269" s="89"/>
      <c r="H269" s="89"/>
      <c r="I269" s="89"/>
      <c r="J269" s="89"/>
      <c r="K269" s="89"/>
    </row>
    <row r="270" spans="1:11">
      <c r="A270" s="93"/>
      <c r="B270" s="786"/>
      <c r="C270" s="786"/>
      <c r="D270" s="786"/>
      <c r="E270" s="786"/>
      <c r="F270" s="786"/>
      <c r="G270" s="786"/>
      <c r="H270" s="786"/>
      <c r="I270" s="786"/>
    </row>
    <row r="271" spans="1:11">
      <c r="A271" s="90"/>
      <c r="B271" s="102"/>
      <c r="C271" s="89"/>
      <c r="D271" s="89"/>
      <c r="E271" s="89"/>
      <c r="F271" s="89"/>
      <c r="G271" s="89"/>
      <c r="H271" s="89"/>
      <c r="I271" s="89"/>
    </row>
    <row r="272" spans="1:11">
      <c r="A272" s="89"/>
      <c r="B272" s="102"/>
      <c r="C272" s="89"/>
      <c r="D272" s="89"/>
      <c r="E272" s="89"/>
      <c r="F272" s="89"/>
      <c r="G272" s="89"/>
      <c r="H272" s="89"/>
      <c r="I272" s="89"/>
    </row>
  </sheetData>
  <sheetProtection formatCells="0" formatColumns="0"/>
  <mergeCells count="21">
    <mergeCell ref="B262:I262"/>
    <mergeCell ref="B270:I270"/>
    <mergeCell ref="B254:I254"/>
    <mergeCell ref="B257:I257"/>
    <mergeCell ref="G215:K215"/>
    <mergeCell ref="I216:K216"/>
    <mergeCell ref="J217:K217"/>
    <mergeCell ref="B258:I258"/>
    <mergeCell ref="B250:I250"/>
    <mergeCell ref="B256:I256"/>
    <mergeCell ref="N172:S172"/>
    <mergeCell ref="I1:K1"/>
    <mergeCell ref="J2:K2"/>
    <mergeCell ref="I36:K36"/>
    <mergeCell ref="J37:K37"/>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workbookViewId="0">
      <selection activeCell="A50" sqref="A50"/>
    </sheetView>
  </sheetViews>
  <sheetFormatPr defaultColWidth="8.81640625" defaultRowHeight="13.2"/>
  <cols>
    <col min="1" max="1" width="3.08984375" style="570" customWidth="1"/>
    <col min="2" max="2" width="6.54296875" style="274" customWidth="1"/>
    <col min="3" max="3" width="4.81640625" style="274" hidden="1" customWidth="1"/>
    <col min="4" max="4" width="12.1796875" style="274" customWidth="1"/>
    <col min="5" max="5" width="11.1796875" style="274" bestFit="1" customWidth="1"/>
    <col min="6" max="6" width="11.08984375" style="274" bestFit="1" customWidth="1"/>
    <col min="7" max="7" width="16.08984375" style="274" customWidth="1"/>
    <col min="8" max="8" width="12" style="274" bestFit="1" customWidth="1"/>
    <col min="9" max="9" width="13.08984375" style="274" bestFit="1" customWidth="1"/>
    <col min="10" max="10" width="10.1796875" style="274" bestFit="1" customWidth="1"/>
    <col min="11" max="12" width="10.1796875" style="274" customWidth="1"/>
    <col min="13" max="14" width="10.81640625" style="274" customWidth="1"/>
    <col min="15" max="15" width="9.54296875" style="274" bestFit="1" customWidth="1"/>
    <col min="16" max="16" width="11.08984375" style="274" customWidth="1"/>
    <col min="17" max="17" width="12.1796875" style="274" customWidth="1"/>
    <col min="18" max="18" width="11.08984375" style="274" customWidth="1"/>
    <col min="19" max="20" width="9.54296875" style="274" customWidth="1"/>
    <col min="21" max="21" width="11.08984375" style="274" customWidth="1"/>
    <col min="22" max="22" width="11.81640625" style="274" customWidth="1"/>
    <col min="23" max="27" width="11.08984375" style="274" customWidth="1"/>
    <col min="28" max="28" width="11.1796875" style="274" customWidth="1"/>
    <col min="29" max="29" width="10.1796875" style="274" customWidth="1"/>
    <col min="30" max="30" width="8.81640625" style="274"/>
    <col min="31" max="31" width="12.81640625" style="274" customWidth="1"/>
    <col min="32" max="32" width="13" style="274" customWidth="1"/>
    <col min="33" max="33" width="13.453125" style="274" customWidth="1"/>
    <col min="34" max="34" width="10.54296875" style="274" customWidth="1"/>
    <col min="35" max="35" width="8.81640625" style="274"/>
    <col min="36" max="36" width="9.54296875" style="274" customWidth="1"/>
    <col min="37" max="37" width="13.453125" style="274" customWidth="1"/>
    <col min="38" max="38" width="10.81640625" style="274" customWidth="1"/>
    <col min="39" max="39" width="10.1796875" style="274" customWidth="1"/>
    <col min="40" max="40" width="11.08984375" style="274" customWidth="1"/>
    <col min="41" max="16384" width="8.81640625" style="274"/>
  </cols>
  <sheetData>
    <row r="1" spans="1:38" ht="13.35" customHeight="1">
      <c r="A1" s="568"/>
      <c r="B1" s="538" t="s">
        <v>537</v>
      </c>
      <c r="C1" s="538"/>
      <c r="D1" s="538"/>
      <c r="E1" s="538"/>
      <c r="F1" s="538"/>
      <c r="G1" s="538"/>
      <c r="H1" s="538"/>
      <c r="I1" s="538"/>
      <c r="J1" s="538"/>
      <c r="K1" s="368"/>
      <c r="L1" s="368"/>
      <c r="M1" s="481"/>
      <c r="N1" s="481"/>
      <c r="Q1" s="481"/>
      <c r="AA1" s="827"/>
      <c r="AB1" s="827"/>
      <c r="AK1" s="827" t="s">
        <v>482</v>
      </c>
      <c r="AL1" s="827"/>
    </row>
    <row r="2" spans="1:38" ht="13.35" customHeight="1">
      <c r="A2" s="568"/>
      <c r="B2" s="538" t="s">
        <v>558</v>
      </c>
      <c r="C2" s="538"/>
      <c r="D2" s="538"/>
      <c r="E2" s="538"/>
      <c r="F2" s="538"/>
      <c r="G2" s="538"/>
      <c r="H2" s="538"/>
      <c r="I2" s="538"/>
      <c r="J2" s="538"/>
      <c r="K2" s="368"/>
      <c r="L2" s="368"/>
      <c r="M2" s="482"/>
      <c r="N2" s="482"/>
      <c r="Q2" s="482"/>
      <c r="AB2" s="482"/>
      <c r="AL2" s="482"/>
    </row>
    <row r="3" spans="1:38" ht="13.35" customHeight="1">
      <c r="A3" s="569"/>
      <c r="B3" s="538" t="str">
        <f>'Act Att-H'!C7</f>
        <v>Cheyenne Light, Fuel &amp; Power</v>
      </c>
      <c r="C3" s="538"/>
      <c r="D3" s="538"/>
      <c r="E3" s="538"/>
      <c r="F3" s="538"/>
      <c r="G3" s="538"/>
      <c r="H3" s="538"/>
      <c r="I3" s="538"/>
      <c r="J3" s="538"/>
      <c r="K3" s="368"/>
      <c r="L3" s="368"/>
    </row>
    <row r="4" spans="1:38" ht="13.35" customHeight="1">
      <c r="I4" s="275"/>
      <c r="J4" s="275" t="s">
        <v>862</v>
      </c>
      <c r="K4" s="275"/>
      <c r="L4" s="275"/>
      <c r="P4" s="275"/>
      <c r="Q4" s="275" t="s">
        <v>483</v>
      </c>
      <c r="V4" s="275" t="s">
        <v>484</v>
      </c>
      <c r="AA4" s="275" t="s">
        <v>863</v>
      </c>
      <c r="AL4" s="274" t="s">
        <v>484</v>
      </c>
    </row>
    <row r="5" spans="1:38">
      <c r="G5" s="55"/>
      <c r="H5" s="55"/>
      <c r="I5" s="55"/>
      <c r="J5" s="55"/>
      <c r="K5" s="55"/>
      <c r="L5" s="55"/>
      <c r="AA5" s="275"/>
    </row>
    <row r="6" spans="1:38">
      <c r="B6" s="821"/>
      <c r="C6" s="821"/>
      <c r="D6" s="821"/>
      <c r="E6" s="821"/>
      <c r="F6" s="822"/>
      <c r="G6" s="483"/>
      <c r="H6" s="484"/>
      <c r="I6" s="484"/>
      <c r="J6" s="485"/>
      <c r="K6" s="278"/>
      <c r="L6" s="278"/>
      <c r="M6" s="278"/>
      <c r="N6" s="278"/>
      <c r="Q6" s="278"/>
      <c r="X6" s="279"/>
    </row>
    <row r="7" spans="1:38">
      <c r="B7" s="823" t="s">
        <v>729</v>
      </c>
      <c r="C7" s="823"/>
      <c r="D7" s="823"/>
      <c r="E7" s="823"/>
      <c r="F7" s="823"/>
      <c r="G7" s="824" t="s">
        <v>490</v>
      </c>
      <c r="H7" s="825"/>
      <c r="I7" s="825"/>
      <c r="J7" s="826"/>
      <c r="K7" s="560"/>
      <c r="L7" s="560"/>
      <c r="M7" s="350"/>
      <c r="N7" s="350"/>
      <c r="Q7" s="350"/>
    </row>
    <row r="8" spans="1:38">
      <c r="G8" s="486"/>
      <c r="H8" s="414"/>
      <c r="I8" s="414"/>
      <c r="J8" s="575"/>
      <c r="K8" s="581"/>
      <c r="L8" s="582"/>
      <c r="M8" s="484"/>
      <c r="N8" s="484"/>
      <c r="O8" s="484"/>
      <c r="P8" s="402"/>
      <c r="Q8" s="591"/>
      <c r="R8" s="483"/>
      <c r="S8" s="832" t="s">
        <v>912</v>
      </c>
      <c r="T8" s="832"/>
      <c r="U8" s="832"/>
      <c r="V8" s="833"/>
      <c r="W8" s="831" t="s">
        <v>913</v>
      </c>
      <c r="X8" s="832"/>
      <c r="Y8" s="832"/>
      <c r="Z8" s="832"/>
      <c r="AA8" s="833"/>
    </row>
    <row r="9" spans="1:38">
      <c r="G9" s="351"/>
      <c r="H9" s="414"/>
      <c r="I9" s="414" t="s">
        <v>491</v>
      </c>
      <c r="J9" s="487" t="s">
        <v>491</v>
      </c>
      <c r="K9" s="488"/>
      <c r="L9" s="828" t="s">
        <v>869</v>
      </c>
      <c r="M9" s="828"/>
      <c r="N9" s="300"/>
      <c r="O9" s="300"/>
      <c r="P9" s="829" t="s">
        <v>897</v>
      </c>
      <c r="Q9" s="830"/>
      <c r="R9" s="353"/>
      <c r="S9" s="277"/>
      <c r="T9" s="277"/>
      <c r="U9" s="277"/>
      <c r="V9" s="285"/>
      <c r="W9" s="353"/>
      <c r="X9" s="277"/>
      <c r="Y9" s="277"/>
      <c r="Z9" s="277"/>
      <c r="AA9" s="285"/>
    </row>
    <row r="10" spans="1:38">
      <c r="B10" s="392" t="s">
        <v>268</v>
      </c>
      <c r="G10" s="488" t="s">
        <v>492</v>
      </c>
      <c r="H10" s="300"/>
      <c r="I10" s="300" t="s">
        <v>486</v>
      </c>
      <c r="J10" s="489" t="s">
        <v>493</v>
      </c>
      <c r="K10" s="488" t="s">
        <v>876</v>
      </c>
      <c r="L10" s="828" t="s">
        <v>868</v>
      </c>
      <c r="M10" s="828"/>
      <c r="N10" s="828" t="s">
        <v>896</v>
      </c>
      <c r="O10" s="828"/>
      <c r="P10" s="829" t="s">
        <v>914</v>
      </c>
      <c r="Q10" s="830"/>
      <c r="R10" s="488" t="s">
        <v>877</v>
      </c>
      <c r="S10" s="300" t="s">
        <v>871</v>
      </c>
      <c r="T10" s="300" t="s">
        <v>872</v>
      </c>
      <c r="U10" s="300"/>
      <c r="V10" s="489"/>
      <c r="W10" s="488" t="s">
        <v>877</v>
      </c>
      <c r="X10" s="300" t="s">
        <v>871</v>
      </c>
      <c r="Y10" s="300" t="s">
        <v>872</v>
      </c>
      <c r="Z10" s="300"/>
      <c r="AA10" s="489"/>
    </row>
    <row r="11" spans="1:38" ht="16.5" customHeight="1" thickBot="1">
      <c r="A11" s="572" t="s">
        <v>878</v>
      </c>
      <c r="B11" s="490" t="s">
        <v>657</v>
      </c>
      <c r="C11" s="490"/>
      <c r="D11" s="490" t="s">
        <v>485</v>
      </c>
      <c r="E11" s="490" t="s">
        <v>486</v>
      </c>
      <c r="F11" s="490" t="s">
        <v>487</v>
      </c>
      <c r="G11" s="491" t="s">
        <v>645</v>
      </c>
      <c r="H11" s="492" t="s">
        <v>494</v>
      </c>
      <c r="I11" s="492" t="s">
        <v>646</v>
      </c>
      <c r="J11" s="493" t="s">
        <v>486</v>
      </c>
      <c r="K11" s="562" t="s">
        <v>875</v>
      </c>
      <c r="L11" s="563" t="s">
        <v>912</v>
      </c>
      <c r="M11" s="563" t="s">
        <v>913</v>
      </c>
      <c r="N11" s="563" t="s">
        <v>912</v>
      </c>
      <c r="O11" s="563" t="s">
        <v>913</v>
      </c>
      <c r="P11" s="563" t="s">
        <v>912</v>
      </c>
      <c r="Q11" s="694" t="s">
        <v>913</v>
      </c>
      <c r="R11" s="566" t="s">
        <v>563</v>
      </c>
      <c r="S11" s="564" t="s">
        <v>486</v>
      </c>
      <c r="T11" s="564" t="s">
        <v>865</v>
      </c>
      <c r="U11" s="564" t="s">
        <v>866</v>
      </c>
      <c r="V11" s="567" t="s">
        <v>867</v>
      </c>
      <c r="W11" s="566" t="s">
        <v>563</v>
      </c>
      <c r="X11" s="564" t="s">
        <v>486</v>
      </c>
      <c r="Y11" s="564" t="s">
        <v>865</v>
      </c>
      <c r="Z11" s="564" t="s">
        <v>866</v>
      </c>
      <c r="AA11" s="567" t="s">
        <v>867</v>
      </c>
    </row>
    <row r="12" spans="1:38">
      <c r="A12" s="571">
        <v>1</v>
      </c>
      <c r="G12" s="353"/>
      <c r="H12" s="494"/>
      <c r="I12" s="495">
        <f>IF('Act Att-H'!D46=0,0,ROUND('Act Att-H'!D119/'Act Att-H'!D46,6)/12)</f>
        <v>1.6718333333333333E-3</v>
      </c>
      <c r="J12" s="496"/>
      <c r="K12" s="353"/>
      <c r="L12" s="277"/>
      <c r="M12" s="277"/>
      <c r="N12" s="277"/>
      <c r="O12" s="277"/>
      <c r="P12" s="280"/>
      <c r="Q12" s="695"/>
      <c r="R12" s="353"/>
      <c r="S12" s="277"/>
      <c r="T12" s="277"/>
      <c r="U12" s="277"/>
      <c r="V12" s="285"/>
      <c r="W12" s="353"/>
      <c r="X12" s="277"/>
      <c r="Y12" s="277"/>
      <c r="Z12" s="277"/>
      <c r="AA12" s="285"/>
    </row>
    <row r="13" spans="1:38">
      <c r="A13" s="571">
        <v>2</v>
      </c>
      <c r="G13" s="353"/>
      <c r="H13" s="277"/>
      <c r="I13" s="497"/>
      <c r="J13" s="285"/>
      <c r="K13" s="353"/>
      <c r="L13" s="277"/>
      <c r="M13" s="277"/>
      <c r="N13" s="277" t="s">
        <v>870</v>
      </c>
      <c r="O13" s="277"/>
      <c r="P13" s="280"/>
      <c r="Q13" s="695"/>
      <c r="R13" s="353"/>
      <c r="S13" s="277"/>
      <c r="T13" s="277"/>
      <c r="U13" s="277"/>
      <c r="V13" s="285"/>
      <c r="W13" s="353"/>
      <c r="X13" s="277"/>
      <c r="Y13" s="277"/>
      <c r="Z13" s="277"/>
      <c r="AA13" s="285"/>
    </row>
    <row r="14" spans="1:38" ht="25.5" customHeight="1">
      <c r="A14" s="571">
        <v>3</v>
      </c>
      <c r="B14" s="294"/>
      <c r="C14" s="294"/>
      <c r="D14" s="498"/>
      <c r="E14" s="499"/>
      <c r="F14" s="284"/>
      <c r="G14" s="577" t="s">
        <v>1241</v>
      </c>
      <c r="H14" s="352">
        <f>'A4-Rate Base'!D22</f>
        <v>139007210.73000002</v>
      </c>
      <c r="I14" s="499"/>
      <c r="J14" s="283">
        <f>'A4-Rate Base'!F45</f>
        <v>10121094.877163667</v>
      </c>
      <c r="K14" s="353"/>
      <c r="L14" s="277"/>
      <c r="M14" s="284"/>
      <c r="N14" s="284"/>
      <c r="O14" s="277"/>
      <c r="P14" s="593">
        <v>4052409.2884013779</v>
      </c>
      <c r="Q14" s="696">
        <v>5886806.5670683403</v>
      </c>
      <c r="R14" s="353"/>
      <c r="S14" s="277"/>
      <c r="T14" s="277"/>
      <c r="U14" s="277"/>
      <c r="V14" s="285"/>
      <c r="W14" s="353"/>
      <c r="X14" s="277"/>
      <c r="Y14" s="277"/>
      <c r="Z14" s="277"/>
      <c r="AA14" s="285"/>
    </row>
    <row r="15" spans="1:38">
      <c r="G15" s="353"/>
      <c r="H15" s="277"/>
      <c r="I15" s="277"/>
      <c r="J15" s="285"/>
      <c r="K15" s="353"/>
      <c r="L15" s="277"/>
      <c r="M15" s="277"/>
      <c r="N15" s="277"/>
      <c r="O15" s="277"/>
      <c r="P15" s="280"/>
      <c r="Q15" s="695"/>
      <c r="R15" s="353"/>
      <c r="S15" s="277"/>
      <c r="T15" s="277"/>
      <c r="U15" s="277"/>
      <c r="V15" s="285"/>
      <c r="W15" s="353"/>
      <c r="X15" s="277"/>
      <c r="Y15" s="277"/>
      <c r="Z15" s="277"/>
      <c r="AA15" s="285"/>
    </row>
    <row r="16" spans="1:38" s="576" customFormat="1">
      <c r="A16" s="741"/>
      <c r="B16" s="742" t="s">
        <v>509</v>
      </c>
      <c r="C16" s="742"/>
      <c r="D16" s="742" t="s">
        <v>510</v>
      </c>
      <c r="E16" s="742" t="s">
        <v>511</v>
      </c>
      <c r="F16" s="742" t="s">
        <v>512</v>
      </c>
      <c r="G16" s="743" t="s">
        <v>513</v>
      </c>
      <c r="H16" s="742" t="s">
        <v>514</v>
      </c>
      <c r="I16" s="742" t="s">
        <v>879</v>
      </c>
      <c r="J16" s="744" t="s">
        <v>880</v>
      </c>
      <c r="K16" s="743" t="s">
        <v>881</v>
      </c>
      <c r="L16" s="742" t="s">
        <v>882</v>
      </c>
      <c r="M16" s="745" t="s">
        <v>883</v>
      </c>
      <c r="N16" s="742" t="s">
        <v>884</v>
      </c>
      <c r="O16" s="742" t="s">
        <v>885</v>
      </c>
      <c r="P16" s="742" t="s">
        <v>886</v>
      </c>
      <c r="Q16" s="746" t="s">
        <v>887</v>
      </c>
      <c r="R16" s="743" t="s">
        <v>888</v>
      </c>
      <c r="S16" s="742" t="s">
        <v>889</v>
      </c>
      <c r="T16" s="742" t="s">
        <v>890</v>
      </c>
      <c r="U16" s="742" t="s">
        <v>891</v>
      </c>
      <c r="V16" s="744" t="s">
        <v>892</v>
      </c>
      <c r="W16" s="743" t="s">
        <v>893</v>
      </c>
      <c r="X16" s="742" t="s">
        <v>1205</v>
      </c>
      <c r="Y16" s="742" t="s">
        <v>1206</v>
      </c>
      <c r="Z16" s="742" t="s">
        <v>1207</v>
      </c>
      <c r="AA16" s="744" t="s">
        <v>1208</v>
      </c>
    </row>
    <row r="17" spans="1:27">
      <c r="G17" s="354"/>
      <c r="H17" s="286"/>
      <c r="I17" s="277"/>
      <c r="J17" s="285"/>
      <c r="K17" s="353"/>
      <c r="L17" s="277"/>
      <c r="M17" s="277"/>
      <c r="N17" s="277"/>
      <c r="O17" s="277"/>
      <c r="P17" s="280"/>
      <c r="Q17" s="695"/>
      <c r="R17" s="353"/>
      <c r="S17" s="277"/>
      <c r="T17" s="277"/>
      <c r="U17" s="277"/>
      <c r="V17" s="285"/>
      <c r="W17" s="353"/>
      <c r="X17" s="277"/>
      <c r="Y17" s="277"/>
      <c r="Z17" s="277"/>
      <c r="AA17" s="285"/>
    </row>
    <row r="18" spans="1:27">
      <c r="A18" s="571">
        <f>+A14+1</f>
        <v>4</v>
      </c>
      <c r="B18" s="287">
        <v>45292</v>
      </c>
      <c r="C18" s="500"/>
      <c r="D18" s="411">
        <f>H18</f>
        <v>138895587.57000002</v>
      </c>
      <c r="E18" s="411">
        <f>I18</f>
        <v>232396.88847210503</v>
      </c>
      <c r="F18" s="411">
        <f>J18</f>
        <v>10353491.765635772</v>
      </c>
      <c r="G18" s="501">
        <v>-111623.16000000038</v>
      </c>
      <c r="H18" s="502">
        <f>H$14+G18</f>
        <v>138895587.57000002</v>
      </c>
      <c r="I18" s="503">
        <f>I$12*H14</f>
        <v>232396.88847210503</v>
      </c>
      <c r="J18" s="504">
        <f>J14+I18</f>
        <v>10353491.765635772</v>
      </c>
      <c r="K18" s="697">
        <f>G18</f>
        <v>-111623.16000000038</v>
      </c>
      <c r="L18" s="561">
        <v>0.05</v>
      </c>
      <c r="M18" s="561">
        <v>9.5000000000000001E-2</v>
      </c>
      <c r="N18" s="277">
        <f t="shared" ref="N18:N29" si="0">K18*L18</f>
        <v>-5581.1580000000195</v>
      </c>
      <c r="O18" s="277">
        <f t="shared" ref="O18:O29" si="1">K18*M18</f>
        <v>-10604.200200000036</v>
      </c>
      <c r="P18" s="280">
        <f t="shared" ref="P18:P29" si="2">(P$14)/12</f>
        <v>337700.77403344814</v>
      </c>
      <c r="Q18" s="698"/>
      <c r="R18" s="707">
        <f>N$42/12+P18</f>
        <v>521014.66000437626</v>
      </c>
      <c r="S18" s="708">
        <f>E18</f>
        <v>232396.88847210503</v>
      </c>
      <c r="T18" s="708">
        <f>S18-R18</f>
        <v>-288617.77153227123</v>
      </c>
      <c r="U18" s="709">
        <f>+'Proj Att-H'!$D$133</f>
        <v>0.20999999999999996</v>
      </c>
      <c r="V18" s="710">
        <f>T18*U18</f>
        <v>-60609.732021776952</v>
      </c>
      <c r="W18" s="711"/>
      <c r="X18" s="699"/>
      <c r="Y18" s="699"/>
      <c r="Z18" s="699"/>
      <c r="AA18" s="698"/>
    </row>
    <row r="19" spans="1:27">
      <c r="A19" s="571">
        <f t="shared" ref="A19:A41" si="3">+A18+1</f>
        <v>5</v>
      </c>
      <c r="B19" s="287">
        <v>45323</v>
      </c>
      <c r="C19" s="500"/>
      <c r="D19" s="411">
        <f t="shared" ref="D19:D41" si="4">H19</f>
        <v>138998798.40000001</v>
      </c>
      <c r="E19" s="411">
        <f t="shared" ref="E19:E41" si="5">I19</f>
        <v>232210.27315244504</v>
      </c>
      <c r="F19" s="411">
        <f t="shared" ref="F19:F41" si="6">J19</f>
        <v>10585702.038788216</v>
      </c>
      <c r="G19" s="501">
        <v>-8412.3300000005693</v>
      </c>
      <c r="H19" s="502">
        <f t="shared" ref="H19:H41" si="7">H$14+G19</f>
        <v>138998798.40000001</v>
      </c>
      <c r="I19" s="503">
        <f>I$12*H18</f>
        <v>232210.27315244504</v>
      </c>
      <c r="J19" s="504">
        <f t="shared" ref="J19:J41" si="8">J18+I19</f>
        <v>10585702.038788216</v>
      </c>
      <c r="K19" s="697">
        <f>G19-G18</f>
        <v>103210.82999999981</v>
      </c>
      <c r="L19" s="561">
        <v>0.05</v>
      </c>
      <c r="M19" s="561">
        <v>9.5000000000000001E-2</v>
      </c>
      <c r="N19" s="277">
        <f t="shared" si="0"/>
        <v>5160.5414999999912</v>
      </c>
      <c r="O19" s="277">
        <f t="shared" si="1"/>
        <v>9805.0288499999824</v>
      </c>
      <c r="P19" s="280">
        <f t="shared" si="2"/>
        <v>337700.77403344814</v>
      </c>
      <c r="Q19" s="698"/>
      <c r="R19" s="707">
        <f t="shared" ref="R19:R29" si="9">N$42/12+P19</f>
        <v>521014.66000437626</v>
      </c>
      <c r="S19" s="708">
        <f t="shared" ref="S19:S29" si="10">E19</f>
        <v>232210.27315244504</v>
      </c>
      <c r="T19" s="708">
        <f t="shared" ref="T19:T29" si="11">S19-R19</f>
        <v>-288804.38685193122</v>
      </c>
      <c r="U19" s="709">
        <f>+'Proj Att-H'!$D$133</f>
        <v>0.20999999999999996</v>
      </c>
      <c r="V19" s="710">
        <f t="shared" ref="V19:V29" si="12">T19*U19</f>
        <v>-60648.921238905546</v>
      </c>
      <c r="W19" s="711"/>
      <c r="X19" s="699"/>
      <c r="Y19" s="699"/>
      <c r="Z19" s="699"/>
      <c r="AA19" s="698"/>
    </row>
    <row r="20" spans="1:27">
      <c r="A20" s="571">
        <f t="shared" si="3"/>
        <v>6</v>
      </c>
      <c r="B20" s="287">
        <v>45352</v>
      </c>
      <c r="C20" s="500"/>
      <c r="D20" s="411">
        <f t="shared" si="4"/>
        <v>139034532.74000001</v>
      </c>
      <c r="E20" s="411">
        <f t="shared" si="5"/>
        <v>232382.82445840002</v>
      </c>
      <c r="F20" s="411">
        <f t="shared" si="6"/>
        <v>10818084.863246616</v>
      </c>
      <c r="G20" s="501">
        <v>27322.009999999449</v>
      </c>
      <c r="H20" s="502">
        <f t="shared" si="7"/>
        <v>139034532.74000001</v>
      </c>
      <c r="I20" s="503">
        <f t="shared" ref="I20:I41" si="13">I$12*H19</f>
        <v>232382.82445840002</v>
      </c>
      <c r="J20" s="504">
        <f t="shared" si="8"/>
        <v>10818084.863246616</v>
      </c>
      <c r="K20" s="697">
        <f t="shared" ref="K20:K41" si="14">G20-G19</f>
        <v>35734.340000000018</v>
      </c>
      <c r="L20" s="561">
        <v>0.05</v>
      </c>
      <c r="M20" s="561">
        <v>9.5000000000000001E-2</v>
      </c>
      <c r="N20" s="277">
        <f t="shared" si="0"/>
        <v>1786.717000000001</v>
      </c>
      <c r="O20" s="277">
        <f t="shared" si="1"/>
        <v>3394.7623000000017</v>
      </c>
      <c r="P20" s="280">
        <f t="shared" si="2"/>
        <v>337700.77403344814</v>
      </c>
      <c r="Q20" s="698"/>
      <c r="R20" s="707">
        <f t="shared" si="9"/>
        <v>521014.66000437626</v>
      </c>
      <c r="S20" s="708">
        <f t="shared" si="10"/>
        <v>232382.82445840002</v>
      </c>
      <c r="T20" s="708">
        <f t="shared" si="11"/>
        <v>-288631.83554597624</v>
      </c>
      <c r="U20" s="709">
        <f>+'Proj Att-H'!$D$133</f>
        <v>0.20999999999999996</v>
      </c>
      <c r="V20" s="710">
        <f t="shared" si="12"/>
        <v>-60612.685464654998</v>
      </c>
      <c r="W20" s="711"/>
      <c r="X20" s="699"/>
      <c r="Y20" s="699"/>
      <c r="Z20" s="699"/>
      <c r="AA20" s="698"/>
    </row>
    <row r="21" spans="1:27">
      <c r="A21" s="571">
        <f t="shared" si="3"/>
        <v>7</v>
      </c>
      <c r="B21" s="287">
        <v>45383</v>
      </c>
      <c r="C21" s="500"/>
      <c r="D21" s="411">
        <f t="shared" si="4"/>
        <v>139029244.97000003</v>
      </c>
      <c r="E21" s="411">
        <f t="shared" si="5"/>
        <v>232442.56631915667</v>
      </c>
      <c r="F21" s="411">
        <f t="shared" si="6"/>
        <v>11050527.429565772</v>
      </c>
      <c r="G21" s="501">
        <v>22034.239999999445</v>
      </c>
      <c r="H21" s="502">
        <f t="shared" si="7"/>
        <v>139029244.97000003</v>
      </c>
      <c r="I21" s="503">
        <f t="shared" si="13"/>
        <v>232442.56631915667</v>
      </c>
      <c r="J21" s="504">
        <f t="shared" si="8"/>
        <v>11050527.429565772</v>
      </c>
      <c r="K21" s="697">
        <f t="shared" si="14"/>
        <v>-5287.7700000000041</v>
      </c>
      <c r="L21" s="561">
        <v>0.05</v>
      </c>
      <c r="M21" s="561">
        <v>9.5000000000000001E-2</v>
      </c>
      <c r="N21" s="277">
        <f t="shared" si="0"/>
        <v>-264.38850000000019</v>
      </c>
      <c r="O21" s="277">
        <f t="shared" si="1"/>
        <v>-502.33815000000038</v>
      </c>
      <c r="P21" s="280">
        <f t="shared" si="2"/>
        <v>337700.77403344814</v>
      </c>
      <c r="Q21" s="698"/>
      <c r="R21" s="707">
        <f t="shared" si="9"/>
        <v>521014.66000437626</v>
      </c>
      <c r="S21" s="708">
        <f t="shared" si="10"/>
        <v>232442.56631915667</v>
      </c>
      <c r="T21" s="708">
        <f t="shared" si="11"/>
        <v>-288572.09368521959</v>
      </c>
      <c r="U21" s="709">
        <f>+'Proj Att-H'!$D$133</f>
        <v>0.20999999999999996</v>
      </c>
      <c r="V21" s="710">
        <f t="shared" si="12"/>
        <v>-60600.139673896105</v>
      </c>
      <c r="W21" s="711"/>
      <c r="X21" s="699"/>
      <c r="Y21" s="699"/>
      <c r="Z21" s="699"/>
      <c r="AA21" s="698"/>
    </row>
    <row r="22" spans="1:27">
      <c r="A22" s="571">
        <f t="shared" si="3"/>
        <v>8</v>
      </c>
      <c r="B22" s="287">
        <v>45413</v>
      </c>
      <c r="C22" s="500"/>
      <c r="D22" s="411">
        <f t="shared" si="4"/>
        <v>139225248.23000002</v>
      </c>
      <c r="E22" s="411">
        <f t="shared" si="5"/>
        <v>232433.72604901172</v>
      </c>
      <c r="F22" s="411">
        <f t="shared" si="6"/>
        <v>11282961.155614784</v>
      </c>
      <c r="G22" s="501">
        <v>218037.49999999942</v>
      </c>
      <c r="H22" s="502">
        <f t="shared" si="7"/>
        <v>139225248.23000002</v>
      </c>
      <c r="I22" s="503">
        <f t="shared" si="13"/>
        <v>232433.72604901172</v>
      </c>
      <c r="J22" s="504">
        <f t="shared" si="8"/>
        <v>11282961.155614784</v>
      </c>
      <c r="K22" s="697">
        <f t="shared" si="14"/>
        <v>196003.25999999998</v>
      </c>
      <c r="L22" s="561">
        <v>0.05</v>
      </c>
      <c r="M22" s="561">
        <v>9.5000000000000001E-2</v>
      </c>
      <c r="N22" s="277">
        <f t="shared" si="0"/>
        <v>9800.1629999999986</v>
      </c>
      <c r="O22" s="277">
        <f t="shared" si="1"/>
        <v>18620.309699999998</v>
      </c>
      <c r="P22" s="280">
        <f t="shared" si="2"/>
        <v>337700.77403344814</v>
      </c>
      <c r="Q22" s="698"/>
      <c r="R22" s="707">
        <f t="shared" si="9"/>
        <v>521014.66000437626</v>
      </c>
      <c r="S22" s="708">
        <f t="shared" si="10"/>
        <v>232433.72604901172</v>
      </c>
      <c r="T22" s="708">
        <f t="shared" si="11"/>
        <v>-288580.93395536451</v>
      </c>
      <c r="U22" s="709">
        <f>+'Proj Att-H'!$D$133</f>
        <v>0.20999999999999996</v>
      </c>
      <c r="V22" s="710">
        <f t="shared" si="12"/>
        <v>-60601.99613062654</v>
      </c>
      <c r="W22" s="711"/>
      <c r="X22" s="699"/>
      <c r="Y22" s="699"/>
      <c r="Z22" s="699"/>
      <c r="AA22" s="698"/>
    </row>
    <row r="23" spans="1:27">
      <c r="A23" s="571">
        <f t="shared" si="3"/>
        <v>9</v>
      </c>
      <c r="B23" s="287">
        <v>45444</v>
      </c>
      <c r="C23" s="500"/>
      <c r="D23" s="411">
        <f t="shared" si="4"/>
        <v>139229863.97000003</v>
      </c>
      <c r="E23" s="411">
        <f t="shared" si="5"/>
        <v>232761.41083252171</v>
      </c>
      <c r="F23" s="411">
        <f t="shared" si="6"/>
        <v>11515722.566447306</v>
      </c>
      <c r="G23" s="501">
        <v>222653.23999999941</v>
      </c>
      <c r="H23" s="502">
        <f t="shared" si="7"/>
        <v>139229863.97000003</v>
      </c>
      <c r="I23" s="503">
        <f t="shared" si="13"/>
        <v>232761.41083252171</v>
      </c>
      <c r="J23" s="504">
        <f t="shared" si="8"/>
        <v>11515722.566447306</v>
      </c>
      <c r="K23" s="697">
        <f t="shared" si="14"/>
        <v>4615.7399999999907</v>
      </c>
      <c r="L23" s="561">
        <v>0.05</v>
      </c>
      <c r="M23" s="561">
        <v>9.5000000000000001E-2</v>
      </c>
      <c r="N23" s="277">
        <f t="shared" si="0"/>
        <v>230.78699999999955</v>
      </c>
      <c r="O23" s="277">
        <f t="shared" si="1"/>
        <v>438.49529999999913</v>
      </c>
      <c r="P23" s="280">
        <f t="shared" si="2"/>
        <v>337700.77403344814</v>
      </c>
      <c r="Q23" s="698"/>
      <c r="R23" s="707">
        <f t="shared" si="9"/>
        <v>521014.66000437626</v>
      </c>
      <c r="S23" s="708">
        <f t="shared" si="10"/>
        <v>232761.41083252171</v>
      </c>
      <c r="T23" s="708">
        <f t="shared" si="11"/>
        <v>-288253.24917185458</v>
      </c>
      <c r="U23" s="709">
        <f>+'Proj Att-H'!$D$133</f>
        <v>0.20999999999999996</v>
      </c>
      <c r="V23" s="710">
        <f t="shared" si="12"/>
        <v>-60533.182326089453</v>
      </c>
      <c r="W23" s="711"/>
      <c r="X23" s="699"/>
      <c r="Y23" s="699"/>
      <c r="Z23" s="699"/>
      <c r="AA23" s="698"/>
    </row>
    <row r="24" spans="1:27">
      <c r="A24" s="571">
        <f t="shared" si="3"/>
        <v>10</v>
      </c>
      <c r="B24" s="287">
        <v>45474</v>
      </c>
      <c r="C24" s="500"/>
      <c r="D24" s="411">
        <f t="shared" si="4"/>
        <v>139230371.96000001</v>
      </c>
      <c r="E24" s="411">
        <f t="shared" si="5"/>
        <v>232769.1275805117</v>
      </c>
      <c r="F24" s="411">
        <f t="shared" si="6"/>
        <v>11748491.694027819</v>
      </c>
      <c r="G24" s="501">
        <v>223161.2299999994</v>
      </c>
      <c r="H24" s="502">
        <f t="shared" si="7"/>
        <v>139230371.96000001</v>
      </c>
      <c r="I24" s="503">
        <f t="shared" si="13"/>
        <v>232769.1275805117</v>
      </c>
      <c r="J24" s="504">
        <f t="shared" si="8"/>
        <v>11748491.694027819</v>
      </c>
      <c r="K24" s="697">
        <f t="shared" si="14"/>
        <v>507.98999999999069</v>
      </c>
      <c r="L24" s="561">
        <v>0.05</v>
      </c>
      <c r="M24" s="561">
        <v>9.5000000000000001E-2</v>
      </c>
      <c r="N24" s="277">
        <f t="shared" si="0"/>
        <v>25.399499999999534</v>
      </c>
      <c r="O24" s="277">
        <f t="shared" si="1"/>
        <v>48.259049999999114</v>
      </c>
      <c r="P24" s="280">
        <f t="shared" si="2"/>
        <v>337700.77403344814</v>
      </c>
      <c r="Q24" s="698"/>
      <c r="R24" s="707">
        <f t="shared" si="9"/>
        <v>521014.66000437626</v>
      </c>
      <c r="S24" s="708">
        <f t="shared" si="10"/>
        <v>232769.1275805117</v>
      </c>
      <c r="T24" s="708">
        <f t="shared" si="11"/>
        <v>-288245.53242386458</v>
      </c>
      <c r="U24" s="709">
        <f>+'Proj Att-H'!$D$133</f>
        <v>0.20999999999999996</v>
      </c>
      <c r="V24" s="710">
        <f t="shared" si="12"/>
        <v>-60531.561809011553</v>
      </c>
      <c r="W24" s="711"/>
      <c r="X24" s="699"/>
      <c r="Y24" s="699"/>
      <c r="Z24" s="699"/>
      <c r="AA24" s="698"/>
    </row>
    <row r="25" spans="1:27">
      <c r="A25" s="571">
        <f t="shared" si="3"/>
        <v>11</v>
      </c>
      <c r="B25" s="287">
        <v>45505</v>
      </c>
      <c r="C25" s="500"/>
      <c r="D25" s="411">
        <f t="shared" si="4"/>
        <v>139781719.15508622</v>
      </c>
      <c r="E25" s="411">
        <f t="shared" si="5"/>
        <v>232769.97685512668</v>
      </c>
      <c r="F25" s="411">
        <f t="shared" si="6"/>
        <v>11981261.670882946</v>
      </c>
      <c r="G25" s="501">
        <v>774508.42508619325</v>
      </c>
      <c r="H25" s="502">
        <f t="shared" si="7"/>
        <v>139781719.15508622</v>
      </c>
      <c r="I25" s="503">
        <f t="shared" si="13"/>
        <v>232769.97685512668</v>
      </c>
      <c r="J25" s="504">
        <f t="shared" si="8"/>
        <v>11981261.670882946</v>
      </c>
      <c r="K25" s="697">
        <f t="shared" si="14"/>
        <v>551347.19508619385</v>
      </c>
      <c r="L25" s="561">
        <v>0.05</v>
      </c>
      <c r="M25" s="561">
        <v>9.5000000000000001E-2</v>
      </c>
      <c r="N25" s="277">
        <f t="shared" si="0"/>
        <v>27567.359754309695</v>
      </c>
      <c r="O25" s="277">
        <f t="shared" si="1"/>
        <v>52377.983533188417</v>
      </c>
      <c r="P25" s="280">
        <f t="shared" si="2"/>
        <v>337700.77403344814</v>
      </c>
      <c r="Q25" s="698"/>
      <c r="R25" s="707">
        <f t="shared" si="9"/>
        <v>521014.66000437626</v>
      </c>
      <c r="S25" s="708">
        <f t="shared" si="10"/>
        <v>232769.97685512668</v>
      </c>
      <c r="T25" s="708">
        <f t="shared" si="11"/>
        <v>-288244.68314924958</v>
      </c>
      <c r="U25" s="709">
        <f>+'Proj Att-H'!$D$133</f>
        <v>0.20999999999999996</v>
      </c>
      <c r="V25" s="710">
        <f t="shared" si="12"/>
        <v>-60531.383461342404</v>
      </c>
      <c r="W25" s="711"/>
      <c r="X25" s="699"/>
      <c r="Y25" s="699"/>
      <c r="Z25" s="699"/>
      <c r="AA25" s="698"/>
    </row>
    <row r="26" spans="1:27">
      <c r="A26" s="571">
        <f t="shared" si="3"/>
        <v>12</v>
      </c>
      <c r="B26" s="287">
        <v>45536</v>
      </c>
      <c r="C26" s="500"/>
      <c r="D26" s="411">
        <f t="shared" si="4"/>
        <v>140405316.13682115</v>
      </c>
      <c r="E26" s="411">
        <f t="shared" si="5"/>
        <v>233691.73747411164</v>
      </c>
      <c r="F26" s="411">
        <f t="shared" si="6"/>
        <v>12214953.408357058</v>
      </c>
      <c r="G26" s="501">
        <v>1398105.4068211366</v>
      </c>
      <c r="H26" s="502">
        <f t="shared" si="7"/>
        <v>140405316.13682115</v>
      </c>
      <c r="I26" s="503">
        <f t="shared" si="13"/>
        <v>233691.73747411164</v>
      </c>
      <c r="J26" s="504">
        <f t="shared" si="8"/>
        <v>12214953.408357058</v>
      </c>
      <c r="K26" s="697">
        <f t="shared" si="14"/>
        <v>623596.98173494334</v>
      </c>
      <c r="L26" s="561">
        <v>0.05</v>
      </c>
      <c r="M26" s="561">
        <v>9.5000000000000001E-2</v>
      </c>
      <c r="N26" s="277">
        <f t="shared" si="0"/>
        <v>31179.84908674717</v>
      </c>
      <c r="O26" s="277">
        <f t="shared" si="1"/>
        <v>59241.71326481962</v>
      </c>
      <c r="P26" s="280">
        <f t="shared" si="2"/>
        <v>337700.77403344814</v>
      </c>
      <c r="Q26" s="698"/>
      <c r="R26" s="707">
        <f t="shared" si="9"/>
        <v>521014.66000437626</v>
      </c>
      <c r="S26" s="708">
        <f t="shared" si="10"/>
        <v>233691.73747411164</v>
      </c>
      <c r="T26" s="708">
        <f t="shared" si="11"/>
        <v>-287322.92253026459</v>
      </c>
      <c r="U26" s="709">
        <f>+'Proj Att-H'!$D$133</f>
        <v>0.20999999999999996</v>
      </c>
      <c r="V26" s="710">
        <f t="shared" si="12"/>
        <v>-60337.813731355556</v>
      </c>
      <c r="W26" s="711"/>
      <c r="X26" s="699"/>
      <c r="Y26" s="699"/>
      <c r="Z26" s="699"/>
      <c r="AA26" s="698"/>
    </row>
    <row r="27" spans="1:27">
      <c r="A27" s="571">
        <f t="shared" si="3"/>
        <v>13</v>
      </c>
      <c r="B27" s="287">
        <v>45566</v>
      </c>
      <c r="C27" s="500"/>
      <c r="D27" s="411">
        <f t="shared" si="4"/>
        <v>140968493.31569728</v>
      </c>
      <c r="E27" s="411">
        <f t="shared" si="5"/>
        <v>234734.28769474215</v>
      </c>
      <c r="F27" s="411">
        <f t="shared" si="6"/>
        <v>12449687.696051801</v>
      </c>
      <c r="G27" s="501">
        <v>1961282.5856972758</v>
      </c>
      <c r="H27" s="502">
        <f t="shared" si="7"/>
        <v>140968493.31569728</v>
      </c>
      <c r="I27" s="503">
        <f t="shared" si="13"/>
        <v>234734.28769474215</v>
      </c>
      <c r="J27" s="504">
        <f t="shared" si="8"/>
        <v>12449687.696051801</v>
      </c>
      <c r="K27" s="697">
        <f t="shared" si="14"/>
        <v>563177.17887613922</v>
      </c>
      <c r="L27" s="561">
        <v>0.05</v>
      </c>
      <c r="M27" s="561">
        <v>9.5000000000000001E-2</v>
      </c>
      <c r="N27" s="277">
        <f t="shared" si="0"/>
        <v>28158.858943806961</v>
      </c>
      <c r="O27" s="277">
        <f t="shared" si="1"/>
        <v>53501.831993233223</v>
      </c>
      <c r="P27" s="280">
        <f t="shared" si="2"/>
        <v>337700.77403344814</v>
      </c>
      <c r="Q27" s="698"/>
      <c r="R27" s="707">
        <f t="shared" si="9"/>
        <v>521014.66000437626</v>
      </c>
      <c r="S27" s="708">
        <f t="shared" si="10"/>
        <v>234734.28769474215</v>
      </c>
      <c r="T27" s="708">
        <f t="shared" si="11"/>
        <v>-286280.37230963411</v>
      </c>
      <c r="U27" s="709">
        <f>+'Proj Att-H'!$D$133</f>
        <v>0.20999999999999996</v>
      </c>
      <c r="V27" s="710">
        <f t="shared" si="12"/>
        <v>-60118.878185023153</v>
      </c>
      <c r="W27" s="711"/>
      <c r="X27" s="699"/>
      <c r="Y27" s="699"/>
      <c r="Z27" s="699"/>
      <c r="AA27" s="698"/>
    </row>
    <row r="28" spans="1:27">
      <c r="A28" s="571">
        <f t="shared" si="3"/>
        <v>14</v>
      </c>
      <c r="B28" s="287">
        <v>45597</v>
      </c>
      <c r="C28" s="500"/>
      <c r="D28" s="411">
        <f t="shared" si="4"/>
        <v>141531429.87302276</v>
      </c>
      <c r="E28" s="411">
        <f t="shared" si="5"/>
        <v>235675.82607495991</v>
      </c>
      <c r="F28" s="411">
        <f t="shared" si="6"/>
        <v>12685363.52212676</v>
      </c>
      <c r="G28" s="501">
        <v>2524219.1430227347</v>
      </c>
      <c r="H28" s="502">
        <f t="shared" si="7"/>
        <v>141531429.87302276</v>
      </c>
      <c r="I28" s="503">
        <f t="shared" si="13"/>
        <v>235675.82607495991</v>
      </c>
      <c r="J28" s="504">
        <f t="shared" si="8"/>
        <v>12685363.52212676</v>
      </c>
      <c r="K28" s="697">
        <f t="shared" si="14"/>
        <v>562936.55732545885</v>
      </c>
      <c r="L28" s="561">
        <v>0.05</v>
      </c>
      <c r="M28" s="561">
        <v>9.5000000000000001E-2</v>
      </c>
      <c r="N28" s="277">
        <f t="shared" si="0"/>
        <v>28146.827866272943</v>
      </c>
      <c r="O28" s="277">
        <f t="shared" si="1"/>
        <v>53478.972945918591</v>
      </c>
      <c r="P28" s="280">
        <f t="shared" si="2"/>
        <v>337700.77403344814</v>
      </c>
      <c r="Q28" s="698"/>
      <c r="R28" s="707">
        <f t="shared" si="9"/>
        <v>521014.66000437626</v>
      </c>
      <c r="S28" s="708">
        <f t="shared" si="10"/>
        <v>235675.82607495991</v>
      </c>
      <c r="T28" s="708">
        <f t="shared" si="11"/>
        <v>-285338.83392941637</v>
      </c>
      <c r="U28" s="709">
        <f>+'Proj Att-H'!$D$133</f>
        <v>0.20999999999999996</v>
      </c>
      <c r="V28" s="710">
        <f t="shared" si="12"/>
        <v>-59921.155125177429</v>
      </c>
      <c r="W28" s="711"/>
      <c r="X28" s="699"/>
      <c r="Y28" s="699"/>
      <c r="Z28" s="699"/>
      <c r="AA28" s="698"/>
    </row>
    <row r="29" spans="1:27">
      <c r="A29" s="571">
        <f t="shared" si="3"/>
        <v>15</v>
      </c>
      <c r="B29" s="287">
        <v>45627</v>
      </c>
      <c r="C29" s="500"/>
      <c r="D29" s="411">
        <f t="shared" si="4"/>
        <v>183002543.36302274</v>
      </c>
      <c r="E29" s="411">
        <f t="shared" si="5"/>
        <v>236616.96217604855</v>
      </c>
      <c r="F29" s="411">
        <f t="shared" si="6"/>
        <v>12921980.484302809</v>
      </c>
      <c r="G29" s="501">
        <v>43995332.63302274</v>
      </c>
      <c r="H29" s="502">
        <f t="shared" si="7"/>
        <v>183002543.36302274</v>
      </c>
      <c r="I29" s="503">
        <f>I$12*H28</f>
        <v>236616.96217604855</v>
      </c>
      <c r="J29" s="504">
        <f t="shared" si="8"/>
        <v>12921980.484302809</v>
      </c>
      <c r="K29" s="697">
        <f t="shared" si="14"/>
        <v>41471113.49000001</v>
      </c>
      <c r="L29" s="561">
        <v>0.05</v>
      </c>
      <c r="M29" s="561">
        <v>9.5000000000000001E-2</v>
      </c>
      <c r="N29" s="277">
        <f t="shared" si="0"/>
        <v>2073555.6745000007</v>
      </c>
      <c r="O29" s="277">
        <f t="shared" si="1"/>
        <v>3939755.7815500009</v>
      </c>
      <c r="P29" s="280">
        <f t="shared" si="2"/>
        <v>337700.77403344814</v>
      </c>
      <c r="Q29" s="698"/>
      <c r="R29" s="707">
        <f t="shared" si="9"/>
        <v>521014.66000437626</v>
      </c>
      <c r="S29" s="708">
        <f t="shared" si="10"/>
        <v>236616.96217604855</v>
      </c>
      <c r="T29" s="708">
        <f t="shared" si="11"/>
        <v>-284397.69782832771</v>
      </c>
      <c r="U29" s="709">
        <f>+'Proj Att-H'!$D$133</f>
        <v>0.20999999999999996</v>
      </c>
      <c r="V29" s="710">
        <f t="shared" si="12"/>
        <v>-59723.516543948812</v>
      </c>
      <c r="W29" s="711"/>
      <c r="X29" s="699"/>
      <c r="Y29" s="699"/>
      <c r="Z29" s="699"/>
      <c r="AA29" s="698"/>
    </row>
    <row r="30" spans="1:27">
      <c r="A30" s="571">
        <f>+A29+1</f>
        <v>16</v>
      </c>
      <c r="B30" s="287">
        <v>45658</v>
      </c>
      <c r="C30" s="500"/>
      <c r="D30" s="411">
        <f t="shared" si="4"/>
        <v>184819488.07842276</v>
      </c>
      <c r="E30" s="411">
        <f t="shared" si="5"/>
        <v>305949.75207908021</v>
      </c>
      <c r="F30" s="411">
        <f t="shared" si="6"/>
        <v>13227930.23638189</v>
      </c>
      <c r="G30" s="501">
        <v>45812277.348422728</v>
      </c>
      <c r="H30" s="502">
        <f t="shared" si="7"/>
        <v>184819488.07842276</v>
      </c>
      <c r="I30" s="503">
        <f t="shared" si="13"/>
        <v>305949.75207908021</v>
      </c>
      <c r="J30" s="504">
        <f t="shared" si="8"/>
        <v>13227930.23638189</v>
      </c>
      <c r="K30" s="697">
        <f t="shared" si="14"/>
        <v>1816944.715399988</v>
      </c>
      <c r="L30" s="561">
        <v>0.05</v>
      </c>
      <c r="M30" s="561">
        <v>9.5000000000000001E-2</v>
      </c>
      <c r="N30" s="699"/>
      <c r="O30" s="277">
        <f t="shared" ref="O30:O41" si="15">K30*L30</f>
        <v>90847.235769999403</v>
      </c>
      <c r="P30" s="699"/>
      <c r="Q30" s="695">
        <f>(Q$14)/12</f>
        <v>490567.21392236167</v>
      </c>
      <c r="R30" s="711"/>
      <c r="S30" s="699"/>
      <c r="T30" s="699"/>
      <c r="U30" s="699"/>
      <c r="V30" s="698"/>
      <c r="W30" s="715">
        <f>(O$42/12)+Q30</f>
        <v>1902202.6014128411</v>
      </c>
      <c r="X30" s="708">
        <f>E30</f>
        <v>305949.75207908021</v>
      </c>
      <c r="Y30" s="708">
        <f>X30-W30</f>
        <v>-1596252.8493337608</v>
      </c>
      <c r="Z30" s="709">
        <f>+'Proj Att-H'!$D$133</f>
        <v>0.20999999999999996</v>
      </c>
      <c r="AA30" s="710">
        <f>Z30*Y30</f>
        <v>-335213.0983600897</v>
      </c>
    </row>
    <row r="31" spans="1:27">
      <c r="A31" s="571">
        <f t="shared" si="3"/>
        <v>17</v>
      </c>
      <c r="B31" s="287">
        <v>45689</v>
      </c>
      <c r="C31" s="500"/>
      <c r="D31" s="411">
        <f t="shared" si="4"/>
        <v>195652937.64252931</v>
      </c>
      <c r="E31" s="411">
        <f t="shared" si="5"/>
        <v>308987.38081910979</v>
      </c>
      <c r="F31" s="411">
        <f t="shared" si="6"/>
        <v>13536917.617201</v>
      </c>
      <c r="G31" s="501">
        <v>56645726.912529297</v>
      </c>
      <c r="H31" s="502">
        <f t="shared" si="7"/>
        <v>195652937.64252931</v>
      </c>
      <c r="I31" s="503">
        <f t="shared" si="13"/>
        <v>308987.38081910979</v>
      </c>
      <c r="J31" s="504">
        <f t="shared" si="8"/>
        <v>13536917.617201</v>
      </c>
      <c r="K31" s="697">
        <f t="shared" si="14"/>
        <v>10833449.564106569</v>
      </c>
      <c r="L31" s="561">
        <v>0.05</v>
      </c>
      <c r="M31" s="561">
        <v>9.5000000000000001E-2</v>
      </c>
      <c r="N31" s="699"/>
      <c r="O31" s="277">
        <f t="shared" si="15"/>
        <v>541672.47820532846</v>
      </c>
      <c r="P31" s="699"/>
      <c r="Q31" s="695">
        <f t="shared" ref="Q31:Q41" si="16">(Q$14)/12</f>
        <v>490567.21392236167</v>
      </c>
      <c r="R31" s="711"/>
      <c r="S31" s="699"/>
      <c r="T31" s="699"/>
      <c r="U31" s="699"/>
      <c r="V31" s="698"/>
      <c r="W31" s="715">
        <f t="shared" ref="W31:W41" si="17">(O$42/12)+Q31</f>
        <v>1902202.6014128411</v>
      </c>
      <c r="X31" s="708">
        <f t="shared" ref="X31:X41" si="18">E31</f>
        <v>308987.38081910979</v>
      </c>
      <c r="Y31" s="708">
        <f t="shared" ref="Y31:Y41" si="19">X31-W31</f>
        <v>-1593215.2205937314</v>
      </c>
      <c r="Z31" s="709">
        <f>+'Proj Att-H'!$D$133</f>
        <v>0.20999999999999996</v>
      </c>
      <c r="AA31" s="710">
        <f t="shared" ref="AA31:AA41" si="20">Z31*Y31</f>
        <v>-334575.19632468355</v>
      </c>
    </row>
    <row r="32" spans="1:27">
      <c r="A32" s="571">
        <f t="shared" si="3"/>
        <v>18</v>
      </c>
      <c r="B32" s="287">
        <v>45717</v>
      </c>
      <c r="C32" s="500"/>
      <c r="D32" s="411">
        <f t="shared" si="4"/>
        <v>197232062.66844267</v>
      </c>
      <c r="E32" s="411">
        <f t="shared" si="5"/>
        <v>327099.10291536857</v>
      </c>
      <c r="F32" s="411">
        <f t="shared" si="6"/>
        <v>13864016.720116369</v>
      </c>
      <c r="G32" s="501">
        <v>58224851.938442655</v>
      </c>
      <c r="H32" s="502">
        <f t="shared" si="7"/>
        <v>197232062.66844267</v>
      </c>
      <c r="I32" s="503">
        <f t="shared" si="13"/>
        <v>327099.10291536857</v>
      </c>
      <c r="J32" s="504">
        <f t="shared" si="8"/>
        <v>13864016.720116369</v>
      </c>
      <c r="K32" s="697">
        <f t="shared" si="14"/>
        <v>1579125.0259133577</v>
      </c>
      <c r="L32" s="561">
        <v>0.05</v>
      </c>
      <c r="M32" s="561">
        <v>9.5000000000000001E-2</v>
      </c>
      <c r="N32" s="699"/>
      <c r="O32" s="277">
        <f t="shared" si="15"/>
        <v>78956.251295667898</v>
      </c>
      <c r="P32" s="699"/>
      <c r="Q32" s="695">
        <f t="shared" si="16"/>
        <v>490567.21392236167</v>
      </c>
      <c r="R32" s="711"/>
      <c r="S32" s="699"/>
      <c r="T32" s="699"/>
      <c r="U32" s="699"/>
      <c r="V32" s="698"/>
      <c r="W32" s="715">
        <f t="shared" si="17"/>
        <v>1902202.6014128411</v>
      </c>
      <c r="X32" s="708">
        <f t="shared" si="18"/>
        <v>327099.10291536857</v>
      </c>
      <c r="Y32" s="708">
        <f t="shared" si="19"/>
        <v>-1575103.4984974726</v>
      </c>
      <c r="Z32" s="709">
        <f>+'Proj Att-H'!$D$133</f>
        <v>0.20999999999999996</v>
      </c>
      <c r="AA32" s="710">
        <f t="shared" si="20"/>
        <v>-330771.73468446918</v>
      </c>
    </row>
    <row r="33" spans="1:27">
      <c r="A33" s="571">
        <f t="shared" si="3"/>
        <v>19</v>
      </c>
      <c r="B33" s="287">
        <v>45748</v>
      </c>
      <c r="C33" s="500"/>
      <c r="D33" s="411">
        <f t="shared" si="4"/>
        <v>197443422.36099693</v>
      </c>
      <c r="E33" s="411">
        <f t="shared" si="5"/>
        <v>329739.13677119138</v>
      </c>
      <c r="F33" s="411">
        <f t="shared" si="6"/>
        <v>14193755.85688756</v>
      </c>
      <c r="G33" s="501">
        <v>58436211.630996905</v>
      </c>
      <c r="H33" s="502">
        <f t="shared" si="7"/>
        <v>197443422.36099693</v>
      </c>
      <c r="I33" s="503">
        <f t="shared" si="13"/>
        <v>329739.13677119138</v>
      </c>
      <c r="J33" s="504">
        <f t="shared" si="8"/>
        <v>14193755.85688756</v>
      </c>
      <c r="K33" s="697">
        <f t="shared" si="14"/>
        <v>211359.69255425036</v>
      </c>
      <c r="L33" s="561">
        <v>0.05</v>
      </c>
      <c r="M33" s="561">
        <v>9.5000000000000001E-2</v>
      </c>
      <c r="N33" s="699"/>
      <c r="O33" s="277">
        <f t="shared" si="15"/>
        <v>10567.984627712518</v>
      </c>
      <c r="P33" s="699"/>
      <c r="Q33" s="695">
        <f t="shared" si="16"/>
        <v>490567.21392236167</v>
      </c>
      <c r="R33" s="711"/>
      <c r="S33" s="699"/>
      <c r="T33" s="699"/>
      <c r="U33" s="699"/>
      <c r="V33" s="698"/>
      <c r="W33" s="715">
        <f t="shared" si="17"/>
        <v>1902202.6014128411</v>
      </c>
      <c r="X33" s="708">
        <f t="shared" si="18"/>
        <v>329739.13677119138</v>
      </c>
      <c r="Y33" s="708">
        <f t="shared" si="19"/>
        <v>-1572463.4646416497</v>
      </c>
      <c r="Z33" s="709">
        <f>+'Proj Att-H'!$D$133</f>
        <v>0.20999999999999996</v>
      </c>
      <c r="AA33" s="710">
        <f t="shared" si="20"/>
        <v>-330217.32757474639</v>
      </c>
    </row>
    <row r="34" spans="1:27">
      <c r="A34" s="571">
        <f t="shared" si="3"/>
        <v>20</v>
      </c>
      <c r="B34" s="287">
        <v>45778</v>
      </c>
      <c r="C34" s="500"/>
      <c r="D34" s="411">
        <f t="shared" si="4"/>
        <v>197661162.24139404</v>
      </c>
      <c r="E34" s="411">
        <f t="shared" si="5"/>
        <v>330092.49495052668</v>
      </c>
      <c r="F34" s="411">
        <f t="shared" si="6"/>
        <v>14523848.351838088</v>
      </c>
      <c r="G34" s="501">
        <v>58653951.511394016</v>
      </c>
      <c r="H34" s="502">
        <f t="shared" si="7"/>
        <v>197661162.24139404</v>
      </c>
      <c r="I34" s="503">
        <f t="shared" si="13"/>
        <v>330092.49495052668</v>
      </c>
      <c r="J34" s="504">
        <f t="shared" si="8"/>
        <v>14523848.351838088</v>
      </c>
      <c r="K34" s="697">
        <f t="shared" si="14"/>
        <v>217739.88039711118</v>
      </c>
      <c r="L34" s="561">
        <v>0.05</v>
      </c>
      <c r="M34" s="561">
        <v>9.5000000000000001E-2</v>
      </c>
      <c r="N34" s="699"/>
      <c r="O34" s="277">
        <f t="shared" si="15"/>
        <v>10886.99401985556</v>
      </c>
      <c r="P34" s="699"/>
      <c r="Q34" s="695">
        <f t="shared" si="16"/>
        <v>490567.21392236167</v>
      </c>
      <c r="R34" s="711"/>
      <c r="S34" s="699"/>
      <c r="T34" s="699"/>
      <c r="U34" s="699"/>
      <c r="V34" s="698"/>
      <c r="W34" s="715">
        <f t="shared" si="17"/>
        <v>1902202.6014128411</v>
      </c>
      <c r="X34" s="708">
        <f t="shared" si="18"/>
        <v>330092.49495052668</v>
      </c>
      <c r="Y34" s="708">
        <f t="shared" si="19"/>
        <v>-1572110.1064623145</v>
      </c>
      <c r="Z34" s="709">
        <f>+'Proj Att-H'!$D$133</f>
        <v>0.20999999999999996</v>
      </c>
      <c r="AA34" s="710">
        <f t="shared" si="20"/>
        <v>-330143.12235708599</v>
      </c>
    </row>
    <row r="35" spans="1:27">
      <c r="A35" s="571">
        <f t="shared" si="3"/>
        <v>21</v>
      </c>
      <c r="B35" s="287">
        <v>45809</v>
      </c>
      <c r="C35" s="500"/>
      <c r="D35" s="411">
        <f t="shared" si="4"/>
        <v>197639921.64667907</v>
      </c>
      <c r="E35" s="411">
        <f t="shared" si="5"/>
        <v>330456.51974057063</v>
      </c>
      <c r="F35" s="411">
        <f t="shared" si="6"/>
        <v>14854304.871578658</v>
      </c>
      <c r="G35" s="501">
        <v>58632710.916679062</v>
      </c>
      <c r="H35" s="502">
        <f t="shared" si="7"/>
        <v>197639921.64667907</v>
      </c>
      <c r="I35" s="503">
        <f t="shared" si="13"/>
        <v>330456.51974057063</v>
      </c>
      <c r="J35" s="504">
        <f t="shared" si="8"/>
        <v>14854304.871578658</v>
      </c>
      <c r="K35" s="697">
        <f t="shared" si="14"/>
        <v>-21240.594714954495</v>
      </c>
      <c r="L35" s="561">
        <v>0.05</v>
      </c>
      <c r="M35" s="561">
        <v>9.5000000000000001E-2</v>
      </c>
      <c r="N35" s="699"/>
      <c r="O35" s="277">
        <f t="shared" si="15"/>
        <v>-1062.0297357477248</v>
      </c>
      <c r="P35" s="699"/>
      <c r="Q35" s="695">
        <f t="shared" si="16"/>
        <v>490567.21392236167</v>
      </c>
      <c r="R35" s="711"/>
      <c r="S35" s="699"/>
      <c r="T35" s="699"/>
      <c r="U35" s="699"/>
      <c r="V35" s="698"/>
      <c r="W35" s="715">
        <f t="shared" si="17"/>
        <v>1902202.6014128411</v>
      </c>
      <c r="X35" s="708">
        <f t="shared" si="18"/>
        <v>330456.51974057063</v>
      </c>
      <c r="Y35" s="708">
        <f t="shared" si="19"/>
        <v>-1571746.0816722705</v>
      </c>
      <c r="Z35" s="709">
        <f>+'Proj Att-H'!$D$133</f>
        <v>0.20999999999999996</v>
      </c>
      <c r="AA35" s="710">
        <f t="shared" si="20"/>
        <v>-330066.67715117679</v>
      </c>
    </row>
    <row r="36" spans="1:27">
      <c r="A36" s="571">
        <f t="shared" si="3"/>
        <v>22</v>
      </c>
      <c r="B36" s="287">
        <v>45839</v>
      </c>
      <c r="C36" s="500"/>
      <c r="D36" s="411">
        <f t="shared" si="4"/>
        <v>197824995.16264397</v>
      </c>
      <c r="E36" s="411">
        <f t="shared" si="5"/>
        <v>330421.0090063063</v>
      </c>
      <c r="F36" s="411">
        <f t="shared" si="6"/>
        <v>15184725.880584965</v>
      </c>
      <c r="G36" s="501">
        <v>58817784.432643935</v>
      </c>
      <c r="H36" s="502">
        <f t="shared" si="7"/>
        <v>197824995.16264397</v>
      </c>
      <c r="I36" s="503">
        <f t="shared" si="13"/>
        <v>330421.0090063063</v>
      </c>
      <c r="J36" s="504">
        <f t="shared" si="8"/>
        <v>15184725.880584965</v>
      </c>
      <c r="K36" s="697">
        <f t="shared" si="14"/>
        <v>185073.51596487314</v>
      </c>
      <c r="L36" s="561">
        <v>0.05</v>
      </c>
      <c r="M36" s="561">
        <v>9.5000000000000001E-2</v>
      </c>
      <c r="N36" s="699"/>
      <c r="O36" s="277">
        <f t="shared" si="15"/>
        <v>9253.6757982436575</v>
      </c>
      <c r="P36" s="699"/>
      <c r="Q36" s="695">
        <f t="shared" si="16"/>
        <v>490567.21392236167</v>
      </c>
      <c r="R36" s="711"/>
      <c r="S36" s="699"/>
      <c r="T36" s="699"/>
      <c r="U36" s="699"/>
      <c r="V36" s="698"/>
      <c r="W36" s="715">
        <f t="shared" si="17"/>
        <v>1902202.6014128411</v>
      </c>
      <c r="X36" s="708">
        <f t="shared" si="18"/>
        <v>330421.0090063063</v>
      </c>
      <c r="Y36" s="708">
        <f t="shared" si="19"/>
        <v>-1571781.5924065348</v>
      </c>
      <c r="Z36" s="709">
        <f>+'Proj Att-H'!$D$133</f>
        <v>0.20999999999999996</v>
      </c>
      <c r="AA36" s="710">
        <f t="shared" si="20"/>
        <v>-330074.13440537226</v>
      </c>
    </row>
    <row r="37" spans="1:27">
      <c r="A37" s="571">
        <f t="shared" si="3"/>
        <v>23</v>
      </c>
      <c r="B37" s="287">
        <v>45870</v>
      </c>
      <c r="C37" s="500"/>
      <c r="D37" s="411">
        <f t="shared" si="4"/>
        <v>198006894.15958089</v>
      </c>
      <c r="E37" s="411">
        <f t="shared" si="5"/>
        <v>330730.42107941362</v>
      </c>
      <c r="F37" s="411">
        <f t="shared" si="6"/>
        <v>15515456.301664378</v>
      </c>
      <c r="G37" s="501">
        <v>58999683.42958086</v>
      </c>
      <c r="H37" s="502">
        <f t="shared" si="7"/>
        <v>198006894.15958089</v>
      </c>
      <c r="I37" s="503">
        <f t="shared" si="13"/>
        <v>330730.42107941362</v>
      </c>
      <c r="J37" s="504">
        <f t="shared" si="8"/>
        <v>15515456.301664378</v>
      </c>
      <c r="K37" s="697">
        <f t="shared" si="14"/>
        <v>181898.99693692476</v>
      </c>
      <c r="L37" s="561">
        <v>0.05</v>
      </c>
      <c r="M37" s="561">
        <v>9.5000000000000001E-2</v>
      </c>
      <c r="N37" s="699"/>
      <c r="O37" s="277">
        <f t="shared" si="15"/>
        <v>9094.9498468462389</v>
      </c>
      <c r="P37" s="699"/>
      <c r="Q37" s="695">
        <f t="shared" si="16"/>
        <v>490567.21392236167</v>
      </c>
      <c r="R37" s="711"/>
      <c r="S37" s="699"/>
      <c r="T37" s="699"/>
      <c r="U37" s="699"/>
      <c r="V37" s="698"/>
      <c r="W37" s="715">
        <f t="shared" si="17"/>
        <v>1902202.6014128411</v>
      </c>
      <c r="X37" s="708">
        <f t="shared" si="18"/>
        <v>330730.42107941362</v>
      </c>
      <c r="Y37" s="708">
        <f t="shared" si="19"/>
        <v>-1571472.1803334276</v>
      </c>
      <c r="Z37" s="709">
        <f>+'Proj Att-H'!$D$133</f>
        <v>0.20999999999999996</v>
      </c>
      <c r="AA37" s="710">
        <f t="shared" si="20"/>
        <v>-330009.15787001973</v>
      </c>
    </row>
    <row r="38" spans="1:27">
      <c r="A38" s="571">
        <f t="shared" si="3"/>
        <v>24</v>
      </c>
      <c r="B38" s="287">
        <v>45901</v>
      </c>
      <c r="C38" s="500"/>
      <c r="D38" s="411">
        <f t="shared" si="4"/>
        <v>198083222.36421451</v>
      </c>
      <c r="E38" s="411">
        <f t="shared" si="5"/>
        <v>331034.52588579262</v>
      </c>
      <c r="F38" s="411">
        <f t="shared" si="6"/>
        <v>15846490.827550171</v>
      </c>
      <c r="G38" s="501">
        <v>59076011.634214498</v>
      </c>
      <c r="H38" s="502">
        <f t="shared" si="7"/>
        <v>198083222.36421451</v>
      </c>
      <c r="I38" s="503">
        <f t="shared" si="13"/>
        <v>331034.52588579262</v>
      </c>
      <c r="J38" s="504">
        <f t="shared" si="8"/>
        <v>15846490.827550171</v>
      </c>
      <c r="K38" s="697">
        <f t="shared" si="14"/>
        <v>76328.204633638263</v>
      </c>
      <c r="L38" s="561">
        <v>0.05</v>
      </c>
      <c r="M38" s="561">
        <v>9.5000000000000001E-2</v>
      </c>
      <c r="N38" s="699"/>
      <c r="O38" s="277">
        <f t="shared" si="15"/>
        <v>3816.4102316819135</v>
      </c>
      <c r="P38" s="699"/>
      <c r="Q38" s="695">
        <f t="shared" si="16"/>
        <v>490567.21392236167</v>
      </c>
      <c r="R38" s="711"/>
      <c r="S38" s="699"/>
      <c r="T38" s="699"/>
      <c r="U38" s="699"/>
      <c r="V38" s="698"/>
      <c r="W38" s="715">
        <f t="shared" si="17"/>
        <v>1902202.6014128411</v>
      </c>
      <c r="X38" s="708">
        <f t="shared" si="18"/>
        <v>331034.52588579262</v>
      </c>
      <c r="Y38" s="708">
        <f t="shared" si="19"/>
        <v>-1571168.0755270484</v>
      </c>
      <c r="Z38" s="709">
        <f>+'Proj Att-H'!$D$133</f>
        <v>0.20999999999999996</v>
      </c>
      <c r="AA38" s="710">
        <f t="shared" si="20"/>
        <v>-329945.29586068011</v>
      </c>
    </row>
    <row r="39" spans="1:27">
      <c r="A39" s="571">
        <f t="shared" si="3"/>
        <v>25</v>
      </c>
      <c r="B39" s="287">
        <v>45931</v>
      </c>
      <c r="C39" s="500"/>
      <c r="D39" s="411">
        <f t="shared" si="4"/>
        <v>198221874.0270741</v>
      </c>
      <c r="E39" s="411">
        <f t="shared" si="5"/>
        <v>331162.1339225726</v>
      </c>
      <c r="F39" s="411">
        <f t="shared" si="6"/>
        <v>16177652.961472744</v>
      </c>
      <c r="G39" s="501">
        <v>59214663.29707408</v>
      </c>
      <c r="H39" s="502">
        <f t="shared" si="7"/>
        <v>198221874.0270741</v>
      </c>
      <c r="I39" s="503">
        <f t="shared" si="13"/>
        <v>331162.1339225726</v>
      </c>
      <c r="J39" s="504">
        <f t="shared" si="8"/>
        <v>16177652.961472744</v>
      </c>
      <c r="K39" s="697">
        <f t="shared" si="14"/>
        <v>138651.66285958141</v>
      </c>
      <c r="L39" s="561">
        <v>0.05</v>
      </c>
      <c r="M39" s="561">
        <v>9.5000000000000001E-2</v>
      </c>
      <c r="N39" s="699"/>
      <c r="O39" s="277">
        <f t="shared" si="15"/>
        <v>6932.5831429790705</v>
      </c>
      <c r="P39" s="699"/>
      <c r="Q39" s="695">
        <f t="shared" si="16"/>
        <v>490567.21392236167</v>
      </c>
      <c r="R39" s="711"/>
      <c r="S39" s="699"/>
      <c r="T39" s="699"/>
      <c r="U39" s="699"/>
      <c r="V39" s="698"/>
      <c r="W39" s="715">
        <f t="shared" si="17"/>
        <v>1902202.6014128411</v>
      </c>
      <c r="X39" s="708">
        <f t="shared" si="18"/>
        <v>331162.1339225726</v>
      </c>
      <c r="Y39" s="708">
        <f t="shared" si="19"/>
        <v>-1571040.4674902684</v>
      </c>
      <c r="Z39" s="709">
        <f>+'Proj Att-H'!$D$133</f>
        <v>0.20999999999999996</v>
      </c>
      <c r="AA39" s="710">
        <f t="shared" si="20"/>
        <v>-329918.49817295629</v>
      </c>
    </row>
    <row r="40" spans="1:27">
      <c r="A40" s="571">
        <f t="shared" si="3"/>
        <v>26</v>
      </c>
      <c r="B40" s="287">
        <v>45962</v>
      </c>
      <c r="C40" s="500"/>
      <c r="D40" s="411">
        <f t="shared" si="4"/>
        <v>198378281.31799462</v>
      </c>
      <c r="E40" s="411">
        <f t="shared" si="5"/>
        <v>331393.93639426341</v>
      </c>
      <c r="F40" s="411">
        <f t="shared" si="6"/>
        <v>16509046.897867007</v>
      </c>
      <c r="G40" s="501">
        <v>59371070.587994598</v>
      </c>
      <c r="H40" s="502">
        <f t="shared" si="7"/>
        <v>198378281.31799462</v>
      </c>
      <c r="I40" s="503">
        <f t="shared" si="13"/>
        <v>331393.93639426341</v>
      </c>
      <c r="J40" s="504">
        <f t="shared" si="8"/>
        <v>16509046.897867007</v>
      </c>
      <c r="K40" s="697">
        <f t="shared" si="14"/>
        <v>156407.29092051834</v>
      </c>
      <c r="L40" s="561">
        <v>0.05</v>
      </c>
      <c r="M40" s="561">
        <v>9.5000000000000001E-2</v>
      </c>
      <c r="N40" s="699"/>
      <c r="O40" s="277">
        <f t="shared" si="15"/>
        <v>7820.3645460259177</v>
      </c>
      <c r="P40" s="699"/>
      <c r="Q40" s="695">
        <f t="shared" si="16"/>
        <v>490567.21392236167</v>
      </c>
      <c r="R40" s="711"/>
      <c r="S40" s="699"/>
      <c r="T40" s="699"/>
      <c r="U40" s="699"/>
      <c r="V40" s="698"/>
      <c r="W40" s="715">
        <f t="shared" si="17"/>
        <v>1902202.6014128411</v>
      </c>
      <c r="X40" s="708">
        <f t="shared" si="18"/>
        <v>331393.93639426341</v>
      </c>
      <c r="Y40" s="708">
        <f t="shared" si="19"/>
        <v>-1570808.6650185776</v>
      </c>
      <c r="Z40" s="709">
        <f>+'Proj Att-H'!$D$133</f>
        <v>0.20999999999999996</v>
      </c>
      <c r="AA40" s="710">
        <f t="shared" si="20"/>
        <v>-329869.81965390121</v>
      </c>
    </row>
    <row r="41" spans="1:27">
      <c r="A41" s="571">
        <f t="shared" si="3"/>
        <v>27</v>
      </c>
      <c r="B41" s="287">
        <v>45992</v>
      </c>
      <c r="C41" s="500"/>
      <c r="D41" s="411">
        <f t="shared" si="4"/>
        <v>438203904.35799462</v>
      </c>
      <c r="E41" s="411">
        <f t="shared" si="5"/>
        <v>331655.42331680068</v>
      </c>
      <c r="F41" s="411">
        <f t="shared" si="6"/>
        <v>16840702.321183808</v>
      </c>
      <c r="G41" s="501">
        <v>299196693.6279946</v>
      </c>
      <c r="H41" s="502">
        <f t="shared" si="7"/>
        <v>438203904.35799462</v>
      </c>
      <c r="I41" s="503">
        <f t="shared" si="13"/>
        <v>331655.42331680068</v>
      </c>
      <c r="J41" s="504">
        <f t="shared" si="8"/>
        <v>16840702.321183808</v>
      </c>
      <c r="K41" s="697">
        <f t="shared" si="14"/>
        <v>239825623.03999999</v>
      </c>
      <c r="L41" s="561">
        <v>0.05</v>
      </c>
      <c r="M41" s="561">
        <v>9.5000000000000001E-2</v>
      </c>
      <c r="N41" s="699"/>
      <c r="O41" s="277">
        <f t="shared" si="15"/>
        <v>11991281.152000001</v>
      </c>
      <c r="P41" s="699"/>
      <c r="Q41" s="695">
        <f t="shared" si="16"/>
        <v>490567.21392236167</v>
      </c>
      <c r="R41" s="711"/>
      <c r="S41" s="699"/>
      <c r="T41" s="699"/>
      <c r="U41" s="699"/>
      <c r="V41" s="698"/>
      <c r="W41" s="715">
        <f t="shared" si="17"/>
        <v>1902202.6014128411</v>
      </c>
      <c r="X41" s="708">
        <f t="shared" si="18"/>
        <v>331655.42331680068</v>
      </c>
      <c r="Y41" s="708">
        <f t="shared" si="19"/>
        <v>-1570547.1780960404</v>
      </c>
      <c r="Z41" s="709">
        <f>+'Proj Att-H'!$D$133</f>
        <v>0.20999999999999996</v>
      </c>
      <c r="AA41" s="710">
        <f t="shared" si="20"/>
        <v>-329814.90740016842</v>
      </c>
    </row>
    <row r="42" spans="1:27">
      <c r="A42" s="570" t="s">
        <v>894</v>
      </c>
      <c r="B42" s="505"/>
      <c r="C42" s="505"/>
      <c r="G42" s="506"/>
      <c r="H42" s="293"/>
      <c r="I42" s="293"/>
      <c r="J42" s="292"/>
      <c r="K42" s="700"/>
      <c r="L42" s="293"/>
      <c r="M42" s="277"/>
      <c r="N42" s="565">
        <f t="shared" ref="N42:T42" si="21">SUM(N18:N41)</f>
        <v>2199766.6316511375</v>
      </c>
      <c r="O42" s="565">
        <f>SUM(O18:O41)</f>
        <v>16939624.649885755</v>
      </c>
      <c r="P42" s="592">
        <f t="shared" si="21"/>
        <v>4052409.2884013779</v>
      </c>
      <c r="Q42" s="701">
        <f t="shared" si="21"/>
        <v>5886806.5670683412</v>
      </c>
      <c r="R42" s="712">
        <f t="shared" si="21"/>
        <v>6252175.9200525163</v>
      </c>
      <c r="S42" s="565">
        <f t="shared" si="21"/>
        <v>2800885.6071391408</v>
      </c>
      <c r="T42" s="565">
        <f t="shared" si="21"/>
        <v>-3451290.312913374</v>
      </c>
      <c r="U42" s="565"/>
      <c r="V42" s="713">
        <f>T42*'Proj Att-H'!D133</f>
        <v>-724770.96571180841</v>
      </c>
      <c r="W42" s="712">
        <f>SUM(W18:W41)</f>
        <v>22826431.216954086</v>
      </c>
      <c r="X42" s="565">
        <f>SUM(X18:X41)</f>
        <v>3918721.8368809959</v>
      </c>
      <c r="Y42" s="565">
        <f>SUM(Y18:Y41)</f>
        <v>-18907709.380073097</v>
      </c>
      <c r="Z42" s="565"/>
      <c r="AA42" s="713">
        <f>SUM(AA18:AA41)</f>
        <v>-3970618.9698153501</v>
      </c>
    </row>
    <row r="43" spans="1:27">
      <c r="A43" s="571">
        <f>A41+1</f>
        <v>28</v>
      </c>
      <c r="B43" s="294" t="s">
        <v>488</v>
      </c>
      <c r="C43" s="294"/>
      <c r="D43" s="411"/>
      <c r="E43" s="507">
        <f>SUM(E30:E41)</f>
        <v>3918721.8368809959</v>
      </c>
      <c r="F43" s="411"/>
      <c r="G43" s="353"/>
      <c r="H43" s="507"/>
      <c r="I43" s="507">
        <f>SUM(I30:I41)</f>
        <v>3918721.8368809959</v>
      </c>
      <c r="J43" s="292"/>
      <c r="K43" s="700"/>
      <c r="L43" s="293"/>
      <c r="M43" s="280"/>
      <c r="N43" s="280"/>
      <c r="O43" s="277"/>
      <c r="P43" s="277"/>
      <c r="Q43" s="695"/>
      <c r="R43" s="353"/>
      <c r="S43" s="277"/>
      <c r="T43" s="277"/>
      <c r="U43" s="277"/>
      <c r="V43" s="285"/>
      <c r="W43" s="353"/>
      <c r="X43" s="277"/>
      <c r="Y43" s="277"/>
      <c r="Z43" s="277"/>
      <c r="AA43" s="285"/>
    </row>
    <row r="44" spans="1:27">
      <c r="A44" s="571">
        <f>+A43+1</f>
        <v>29</v>
      </c>
      <c r="B44" s="294" t="s">
        <v>489</v>
      </c>
      <c r="C44" s="411"/>
      <c r="D44" s="411">
        <f>SUM(D29:D41)/13</f>
        <v>214013131.49161464</v>
      </c>
      <c r="E44" s="293"/>
      <c r="F44" s="411">
        <f>SUM(F29:F41)/13</f>
        <v>14861294.563740727</v>
      </c>
      <c r="G44" s="508"/>
      <c r="H44" s="649">
        <f>SUM(H29:H41)/13</f>
        <v>214013131.49161464</v>
      </c>
      <c r="I44" s="509"/>
      <c r="J44" s="510">
        <f>SUM(J29:J41)/13</f>
        <v>14861294.563740727</v>
      </c>
      <c r="K44" s="702"/>
      <c r="L44" s="703"/>
      <c r="M44" s="704"/>
      <c r="N44" s="704"/>
      <c r="O44" s="705"/>
      <c r="P44" s="705"/>
      <c r="Q44" s="706"/>
      <c r="R44" s="508"/>
      <c r="S44" s="705"/>
      <c r="T44" s="705"/>
      <c r="U44" s="705"/>
      <c r="V44" s="714"/>
      <c r="W44" s="508"/>
      <c r="X44" s="705"/>
      <c r="Y44" s="705"/>
      <c r="Z44" s="705"/>
      <c r="AA44" s="714"/>
    </row>
    <row r="45" spans="1:27">
      <c r="B45" s="294"/>
      <c r="D45" s="295"/>
      <c r="E45" s="295"/>
      <c r="F45" s="295"/>
      <c r="J45" s="296"/>
      <c r="K45" s="296"/>
      <c r="L45" s="296"/>
      <c r="M45" s="277"/>
      <c r="N45" s="277"/>
      <c r="Q45" s="277"/>
    </row>
    <row r="46" spans="1:27" ht="15.75" customHeight="1">
      <c r="A46" s="571"/>
    </row>
    <row r="48" spans="1:27">
      <c r="C48" s="298"/>
      <c r="G48" s="297" t="s">
        <v>205</v>
      </c>
    </row>
    <row r="49" spans="2:12" ht="66" customHeight="1">
      <c r="D49" s="573"/>
      <c r="E49" s="573"/>
      <c r="F49" s="573"/>
      <c r="G49" s="299" t="s">
        <v>79</v>
      </c>
      <c r="H49" s="834" t="s">
        <v>647</v>
      </c>
      <c r="I49" s="834"/>
      <c r="J49" s="834"/>
      <c r="K49" s="552"/>
      <c r="L49" s="552"/>
    </row>
    <row r="50" spans="2:12">
      <c r="B50" s="299"/>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workbookViewId="0">
      <selection activeCell="A41" sqref="A41"/>
    </sheetView>
  </sheetViews>
  <sheetFormatPr defaultColWidth="8.81640625" defaultRowHeight="13.2"/>
  <cols>
    <col min="1" max="1" width="5.1796875" style="274" customWidth="1"/>
    <col min="2" max="2" width="34.54296875" style="274" customWidth="1"/>
    <col min="3" max="3" width="29.54296875" style="274" customWidth="1"/>
    <col min="4" max="4" width="13.81640625" style="274" customWidth="1"/>
    <col min="5" max="5" width="14.81640625" style="274" customWidth="1"/>
    <col min="6" max="6" width="16.54296875" style="274" customWidth="1"/>
    <col min="7" max="7" width="3.1796875" style="274" customWidth="1"/>
    <col min="8" max="8" width="13.81640625" style="274" customWidth="1"/>
    <col min="9" max="9" width="11.1796875" style="274" customWidth="1"/>
    <col min="10" max="10" width="3.1796875" style="274" customWidth="1"/>
    <col min="11" max="11" width="14.1796875" style="274" customWidth="1"/>
    <col min="12" max="12" width="13.453125" style="274" customWidth="1"/>
    <col min="13" max="13" width="14.453125" style="274" bestFit="1" customWidth="1"/>
    <col min="14" max="14" width="13.1796875" style="274" customWidth="1"/>
    <col min="15" max="16384" width="8.81640625" style="274"/>
  </cols>
  <sheetData>
    <row r="1" spans="1:13">
      <c r="A1" s="835" t="s">
        <v>538</v>
      </c>
      <c r="B1" s="835"/>
      <c r="C1" s="835"/>
      <c r="D1" s="835"/>
      <c r="E1" s="835"/>
      <c r="F1" s="835"/>
    </row>
    <row r="2" spans="1:13">
      <c r="A2" s="835" t="s">
        <v>559</v>
      </c>
      <c r="B2" s="835"/>
      <c r="C2" s="835"/>
      <c r="D2" s="835"/>
      <c r="E2" s="835"/>
      <c r="F2" s="835"/>
    </row>
    <row r="3" spans="1:13">
      <c r="A3" s="835" t="str">
        <f>'Act Att-H'!C7</f>
        <v>Cheyenne Light, Fuel &amp; Power</v>
      </c>
      <c r="B3" s="835"/>
      <c r="C3" s="835"/>
      <c r="D3" s="835"/>
      <c r="E3" s="835"/>
      <c r="F3" s="835"/>
    </row>
    <row r="4" spans="1:13">
      <c r="A4" s="368"/>
      <c r="B4" s="368"/>
      <c r="C4" s="368"/>
      <c r="D4" s="368"/>
      <c r="E4" s="368"/>
      <c r="F4" s="386" t="s">
        <v>673</v>
      </c>
    </row>
    <row r="5" spans="1:13" s="277" customFormat="1">
      <c r="B5" s="387"/>
      <c r="D5" s="388"/>
      <c r="E5" s="388"/>
      <c r="F5" s="388"/>
    </row>
    <row r="6" spans="1:13">
      <c r="B6" s="389" t="s">
        <v>15</v>
      </c>
      <c r="C6" s="389" t="s">
        <v>16</v>
      </c>
      <c r="D6" s="389" t="s">
        <v>17</v>
      </c>
      <c r="E6" s="390" t="s">
        <v>18</v>
      </c>
      <c r="F6" s="390" t="s">
        <v>19</v>
      </c>
    </row>
    <row r="7" spans="1:13">
      <c r="B7" s="391"/>
      <c r="C7" s="277"/>
      <c r="D7" s="350"/>
      <c r="E7" s="388" t="s">
        <v>495</v>
      </c>
      <c r="F7" s="350"/>
      <c r="G7" s="277"/>
      <c r="H7" s="277"/>
      <c r="I7" s="277"/>
      <c r="J7" s="277"/>
      <c r="K7" s="277"/>
      <c r="L7" s="277"/>
      <c r="M7" s="277"/>
    </row>
    <row r="8" spans="1:13">
      <c r="B8" s="391"/>
      <c r="C8" s="277"/>
      <c r="D8" s="392"/>
      <c r="E8" s="388" t="s">
        <v>496</v>
      </c>
      <c r="F8" s="350"/>
      <c r="G8" s="277"/>
      <c r="H8" s="277"/>
      <c r="I8" s="277"/>
      <c r="J8" s="277"/>
      <c r="K8" s="277"/>
      <c r="L8" s="277"/>
      <c r="M8" s="277"/>
    </row>
    <row r="9" spans="1:13">
      <c r="B9" s="391"/>
      <c r="C9" s="277"/>
      <c r="D9" s="392" t="s">
        <v>497</v>
      </c>
      <c r="E9" s="388" t="s">
        <v>498</v>
      </c>
      <c r="F9" s="388" t="s">
        <v>492</v>
      </c>
      <c r="G9" s="277"/>
      <c r="H9" s="277"/>
      <c r="I9" s="277"/>
      <c r="J9" s="277"/>
      <c r="K9" s="277"/>
      <c r="L9" s="277"/>
      <c r="M9" s="277"/>
    </row>
    <row r="10" spans="1:13" ht="13.8" thickBot="1">
      <c r="A10" s="393" t="s">
        <v>4</v>
      </c>
      <c r="B10" s="393" t="s">
        <v>478</v>
      </c>
      <c r="C10" s="393" t="s">
        <v>578</v>
      </c>
      <c r="D10" s="393" t="s">
        <v>499</v>
      </c>
      <c r="E10" s="394" t="s">
        <v>494</v>
      </c>
      <c r="F10" s="393" t="s">
        <v>499</v>
      </c>
      <c r="G10" s="277"/>
      <c r="H10" s="277"/>
      <c r="I10" s="277"/>
      <c r="J10" s="277"/>
      <c r="K10" s="277"/>
      <c r="L10" s="277"/>
      <c r="M10" s="277"/>
    </row>
    <row r="11" spans="1:13">
      <c r="C11" s="277"/>
      <c r="D11" s="277"/>
      <c r="E11" s="277" t="s">
        <v>500</v>
      </c>
      <c r="F11" s="300" t="s">
        <v>501</v>
      </c>
      <c r="G11" s="277"/>
      <c r="H11" s="277"/>
      <c r="I11" s="277"/>
      <c r="J11" s="277"/>
      <c r="K11" s="277"/>
      <c r="L11" s="277"/>
      <c r="M11" s="277"/>
    </row>
    <row r="12" spans="1:13">
      <c r="A12" s="395">
        <v>1</v>
      </c>
      <c r="B12" s="274" t="s">
        <v>502</v>
      </c>
      <c r="C12" s="280" t="s">
        <v>579</v>
      </c>
      <c r="D12" s="282">
        <f>'Act Att-H'!I66</f>
        <v>107073007.13846038</v>
      </c>
      <c r="E12" s="396"/>
      <c r="F12" s="296"/>
      <c r="G12" s="277"/>
      <c r="H12" s="277"/>
      <c r="I12" s="277"/>
      <c r="J12" s="277"/>
      <c r="K12" s="277"/>
      <c r="L12" s="277"/>
      <c r="M12" s="277"/>
    </row>
    <row r="13" spans="1:13">
      <c r="A13" s="397">
        <v>2</v>
      </c>
      <c r="B13" s="274" t="s">
        <v>503</v>
      </c>
      <c r="C13" s="296" t="s">
        <v>648</v>
      </c>
      <c r="D13" s="296"/>
      <c r="E13" s="296"/>
      <c r="F13" s="282">
        <f>'Proj Att-H'!I61</f>
        <v>188652704.04353881</v>
      </c>
      <c r="G13" s="277"/>
      <c r="H13" s="277"/>
    </row>
    <row r="14" spans="1:13">
      <c r="A14" s="276"/>
      <c r="C14" s="296"/>
      <c r="D14" s="296"/>
      <c r="E14" s="296"/>
      <c r="F14" s="296"/>
      <c r="H14" s="277"/>
    </row>
    <row r="15" spans="1:13">
      <c r="A15" s="276"/>
      <c r="B15" s="391" t="s">
        <v>504</v>
      </c>
      <c r="C15" s="296"/>
      <c r="D15" s="296"/>
      <c r="E15" s="398"/>
      <c r="F15" s="296"/>
      <c r="H15" s="277"/>
    </row>
    <row r="16" spans="1:13">
      <c r="A16" s="397">
        <f>A13+1</f>
        <v>3</v>
      </c>
      <c r="B16" s="296" t="s">
        <v>38</v>
      </c>
      <c r="C16" s="296" t="s">
        <v>580</v>
      </c>
      <c r="D16" s="282">
        <f>'Act Att-H'!D105</f>
        <v>23538853</v>
      </c>
      <c r="E16" s="65">
        <f>IF($D$12=0,0,D16/$D$12)</f>
        <v>0.21983928189820026</v>
      </c>
      <c r="F16" s="63">
        <f>E16*F$13</f>
        <v>41473274.985085271</v>
      </c>
      <c r="G16" s="296"/>
      <c r="H16" s="277"/>
      <c r="I16" s="284"/>
    </row>
    <row r="17" spans="1:9">
      <c r="A17" s="303">
        <f>A16+1</f>
        <v>4</v>
      </c>
      <c r="B17" s="296" t="s">
        <v>144</v>
      </c>
      <c r="C17" s="296" t="s">
        <v>581</v>
      </c>
      <c r="D17" s="282">
        <f>'Act Att-H'!D106</f>
        <v>348863</v>
      </c>
      <c r="E17" s="65">
        <f t="shared" ref="E17:E26" si="0">IF($D$12=0,0,D17/$D$12)</f>
        <v>3.2581787821544164E-3</v>
      </c>
      <c r="F17" s="63">
        <f t="shared" ref="F17:F26" si="1">E17*F$13</f>
        <v>614664.2375107148</v>
      </c>
      <c r="G17" s="296"/>
      <c r="H17" s="277"/>
      <c r="I17" s="399"/>
    </row>
    <row r="18" spans="1:9">
      <c r="A18" s="303">
        <f t="shared" ref="A18:A26" si="2">A17+1</f>
        <v>5</v>
      </c>
      <c r="B18" s="296" t="s">
        <v>39</v>
      </c>
      <c r="C18" s="296" t="s">
        <v>583</v>
      </c>
      <c r="D18" s="282">
        <f>'Act Att-H'!D107</f>
        <v>22292762</v>
      </c>
      <c r="E18" s="65">
        <f t="shared" si="0"/>
        <v>0.20820151218105173</v>
      </c>
      <c r="F18" s="63">
        <f t="shared" si="1"/>
        <v>39277778.258909196</v>
      </c>
      <c r="G18" s="296"/>
      <c r="H18" s="277"/>
      <c r="I18" s="399"/>
    </row>
    <row r="19" spans="1:9">
      <c r="A19" s="303">
        <f t="shared" si="2"/>
        <v>6</v>
      </c>
      <c r="B19" s="296" t="s">
        <v>40</v>
      </c>
      <c r="C19" s="296" t="s">
        <v>582</v>
      </c>
      <c r="D19" s="282">
        <f>'Act Att-H'!D108</f>
        <v>18068066</v>
      </c>
      <c r="E19" s="65">
        <f t="shared" si="0"/>
        <v>0.16874529335517272</v>
      </c>
      <c r="F19" s="63">
        <f t="shared" si="1"/>
        <v>31834255.886073533</v>
      </c>
      <c r="G19" s="296"/>
      <c r="H19" s="277"/>
      <c r="I19" s="399"/>
    </row>
    <row r="20" spans="1:9">
      <c r="A20" s="303">
        <f t="shared" si="2"/>
        <v>7</v>
      </c>
      <c r="B20" s="71" t="s">
        <v>1217</v>
      </c>
      <c r="C20" s="296"/>
      <c r="D20" s="296"/>
      <c r="E20" s="296"/>
      <c r="F20" s="296"/>
      <c r="G20" s="296"/>
      <c r="H20" s="277"/>
      <c r="I20" s="399"/>
    </row>
    <row r="21" spans="1:9">
      <c r="A21" s="303">
        <f t="shared" si="2"/>
        <v>8</v>
      </c>
      <c r="B21" s="296" t="s">
        <v>575</v>
      </c>
      <c r="C21" s="296" t="s">
        <v>584</v>
      </c>
      <c r="D21" s="282">
        <f>'Act Att-H'!D110</f>
        <v>1381404</v>
      </c>
      <c r="E21" s="65">
        <f t="shared" si="0"/>
        <v>1.2901514928161599E-2</v>
      </c>
      <c r="F21" s="63">
        <f t="shared" si="1"/>
        <v>2433905.677455768</v>
      </c>
      <c r="H21" s="277"/>
      <c r="I21" s="399"/>
    </row>
    <row r="22" spans="1:9">
      <c r="A22" s="303">
        <f t="shared" si="2"/>
        <v>9</v>
      </c>
      <c r="B22" s="296" t="s">
        <v>576</v>
      </c>
      <c r="C22" s="296" t="s">
        <v>588</v>
      </c>
      <c r="D22" s="282">
        <f>'Act Att-H'!D111</f>
        <v>0</v>
      </c>
      <c r="E22" s="65">
        <f t="shared" si="0"/>
        <v>0</v>
      </c>
      <c r="F22" s="63">
        <f t="shared" si="1"/>
        <v>0</v>
      </c>
      <c r="H22" s="277"/>
      <c r="I22" s="399"/>
    </row>
    <row r="23" spans="1:9">
      <c r="A23" s="303">
        <f t="shared" si="2"/>
        <v>10</v>
      </c>
      <c r="B23" s="296" t="s">
        <v>930</v>
      </c>
      <c r="C23" s="296" t="s">
        <v>589</v>
      </c>
      <c r="D23" s="282">
        <f>'Act Att-H'!D112</f>
        <v>371969.69050000003</v>
      </c>
      <c r="E23" s="400"/>
      <c r="F23" s="282">
        <f>D23</f>
        <v>371969.69050000003</v>
      </c>
      <c r="H23" s="277"/>
      <c r="I23" s="399"/>
    </row>
    <row r="24" spans="1:9">
      <c r="A24" s="303">
        <f t="shared" si="2"/>
        <v>11</v>
      </c>
      <c r="B24" s="296" t="s">
        <v>931</v>
      </c>
      <c r="C24" s="296" t="s">
        <v>590</v>
      </c>
      <c r="D24" s="282">
        <f>'Act Att-H'!D113</f>
        <v>589097.48226666672</v>
      </c>
      <c r="E24" s="65">
        <f t="shared" si="0"/>
        <v>5.501829994415691E-3</v>
      </c>
      <c r="F24" s="63">
        <f t="shared" si="1"/>
        <v>1037935.1056343681</v>
      </c>
      <c r="H24" s="277"/>
      <c r="I24" s="399"/>
    </row>
    <row r="25" spans="1:9">
      <c r="A25" s="303">
        <f t="shared" si="2"/>
        <v>12</v>
      </c>
      <c r="B25" s="296" t="s">
        <v>32</v>
      </c>
      <c r="C25" s="296" t="s">
        <v>585</v>
      </c>
      <c r="D25" s="282">
        <f>'Act Att-H'!D114</f>
        <v>0</v>
      </c>
      <c r="E25" s="65">
        <f t="shared" si="0"/>
        <v>0</v>
      </c>
      <c r="F25" s="63">
        <f t="shared" si="1"/>
        <v>0</v>
      </c>
      <c r="G25" s="296"/>
      <c r="H25" s="277"/>
      <c r="I25" s="401"/>
    </row>
    <row r="26" spans="1:9" ht="13.8" thickBot="1">
      <c r="A26" s="303">
        <f t="shared" si="2"/>
        <v>13</v>
      </c>
      <c r="B26" s="296" t="s">
        <v>41</v>
      </c>
      <c r="C26" s="296" t="s">
        <v>586</v>
      </c>
      <c r="D26" s="282">
        <f>'Act Att-H'!D115</f>
        <v>0</v>
      </c>
      <c r="E26" s="65">
        <f t="shared" si="0"/>
        <v>0</v>
      </c>
      <c r="F26" s="63">
        <f t="shared" si="1"/>
        <v>0</v>
      </c>
      <c r="G26" s="296"/>
      <c r="H26" s="277"/>
      <c r="I26" s="284"/>
    </row>
    <row r="27" spans="1:9">
      <c r="A27" s="303">
        <f>A26+1</f>
        <v>14</v>
      </c>
      <c r="B27" s="402" t="s">
        <v>577</v>
      </c>
      <c r="C27" s="402" t="s">
        <v>1220</v>
      </c>
      <c r="D27" s="72">
        <f>+D16-D17-D18+D19-D21+D25+D26+D22+D23-D24</f>
        <v>17366762.20823333</v>
      </c>
      <c r="E27" s="72"/>
      <c r="F27" s="72">
        <f>+F16-F17-F18+F19-F21+F25+F26+F22+F23-F24</f>
        <v>30315217.282148752</v>
      </c>
      <c r="H27" s="277"/>
    </row>
    <row r="28" spans="1:9">
      <c r="A28" s="276"/>
      <c r="C28" s="296"/>
      <c r="D28" s="296"/>
      <c r="E28" s="296"/>
      <c r="F28" s="296"/>
      <c r="H28" s="277"/>
    </row>
    <row r="29" spans="1:9">
      <c r="A29" s="276"/>
      <c r="C29" s="296"/>
      <c r="D29" s="296"/>
      <c r="E29" s="296"/>
      <c r="F29" s="296"/>
      <c r="H29" s="277"/>
    </row>
    <row r="30" spans="1:9">
      <c r="A30" s="276"/>
      <c r="B30" s="391" t="s">
        <v>505</v>
      </c>
      <c r="C30" s="296"/>
      <c r="D30" s="296"/>
      <c r="E30" s="296"/>
      <c r="F30" s="296"/>
      <c r="H30" s="277"/>
    </row>
    <row r="31" spans="1:9">
      <c r="A31" s="276"/>
      <c r="B31" s="276" t="s">
        <v>42</v>
      </c>
      <c r="C31" s="298"/>
      <c r="D31" s="296"/>
      <c r="E31" s="296"/>
      <c r="F31" s="296"/>
      <c r="H31" s="277"/>
    </row>
    <row r="32" spans="1:9">
      <c r="A32" s="397">
        <f>A27+1</f>
        <v>15</v>
      </c>
      <c r="B32" s="276" t="s">
        <v>43</v>
      </c>
      <c r="C32" s="296" t="s">
        <v>591</v>
      </c>
      <c r="D32" s="282">
        <f>'Act Att-H'!D127</f>
        <v>1056408</v>
      </c>
      <c r="E32" s="65">
        <f t="shared" ref="E32:E38" si="3">IF($D$12=0,0,D32/$D$12)</f>
        <v>9.8662401312210896E-3</v>
      </c>
      <c r="F32" s="63">
        <f t="shared" ref="F32:F38" si="4">E32*F$13</f>
        <v>1861292.8794977376</v>
      </c>
      <c r="H32" s="277"/>
    </row>
    <row r="33" spans="1:9">
      <c r="A33" s="397">
        <f>A32+1</f>
        <v>16</v>
      </c>
      <c r="B33" s="276" t="s">
        <v>44</v>
      </c>
      <c r="C33" s="296" t="s">
        <v>592</v>
      </c>
      <c r="D33" s="282">
        <f>'Act Att-H'!D128</f>
        <v>0</v>
      </c>
      <c r="E33" s="65">
        <f t="shared" si="3"/>
        <v>0</v>
      </c>
      <c r="F33" s="63">
        <f t="shared" si="4"/>
        <v>0</v>
      </c>
      <c r="H33" s="277"/>
    </row>
    <row r="34" spans="1:9">
      <c r="A34" s="397">
        <f t="shared" ref="A34:A39" si="5">A33+1</f>
        <v>17</v>
      </c>
      <c r="B34" s="276" t="s">
        <v>45</v>
      </c>
      <c r="C34" s="296"/>
      <c r="D34" s="405"/>
      <c r="E34" s="65"/>
      <c r="F34" s="63"/>
      <c r="H34" s="277"/>
    </row>
    <row r="35" spans="1:9">
      <c r="A35" s="397">
        <f t="shared" si="5"/>
        <v>18</v>
      </c>
      <c r="B35" s="747" t="s">
        <v>46</v>
      </c>
      <c r="C35" s="296" t="s">
        <v>593</v>
      </c>
      <c r="D35" s="282">
        <f>'Act Att-H'!D130</f>
        <v>2740866</v>
      </c>
      <c r="E35" s="65">
        <f t="shared" si="3"/>
        <v>2.5598104258486704E-2</v>
      </c>
      <c r="F35" s="63">
        <f t="shared" si="4"/>
        <v>4829151.5867519425</v>
      </c>
      <c r="H35" s="277"/>
    </row>
    <row r="36" spans="1:9">
      <c r="A36" s="397">
        <f t="shared" si="5"/>
        <v>19</v>
      </c>
      <c r="B36" s="276" t="s">
        <v>47</v>
      </c>
      <c r="C36" s="296" t="s">
        <v>594</v>
      </c>
      <c r="D36" s="282">
        <f>'Act Att-H'!D131</f>
        <v>1675772</v>
      </c>
      <c r="E36" s="65">
        <f t="shared" si="3"/>
        <v>1.5650741907649913E-2</v>
      </c>
      <c r="F36" s="63">
        <f t="shared" si="4"/>
        <v>2952554.7811656892</v>
      </c>
      <c r="H36" s="277"/>
    </row>
    <row r="37" spans="1:9">
      <c r="A37" s="397">
        <f t="shared" si="5"/>
        <v>20</v>
      </c>
      <c r="B37" s="276" t="s">
        <v>48</v>
      </c>
      <c r="C37" s="296" t="s">
        <v>595</v>
      </c>
      <c r="D37" s="282">
        <f>'Act Att-H'!D132</f>
        <v>0</v>
      </c>
      <c r="E37" s="65">
        <f t="shared" si="3"/>
        <v>0</v>
      </c>
      <c r="F37" s="63">
        <f t="shared" si="4"/>
        <v>0</v>
      </c>
      <c r="H37" s="277"/>
    </row>
    <row r="38" spans="1:9">
      <c r="A38" s="397">
        <f t="shared" si="5"/>
        <v>21</v>
      </c>
      <c r="B38" s="276" t="s">
        <v>574</v>
      </c>
      <c r="C38" s="296" t="s">
        <v>596</v>
      </c>
      <c r="D38" s="282">
        <f>'Act Att-H'!D133</f>
        <v>0</v>
      </c>
      <c r="E38" s="65">
        <f t="shared" si="3"/>
        <v>0</v>
      </c>
      <c r="F38" s="63">
        <f t="shared" si="4"/>
        <v>0</v>
      </c>
      <c r="H38" s="277"/>
    </row>
    <row r="39" spans="1:9">
      <c r="A39" s="397">
        <f t="shared" si="5"/>
        <v>22</v>
      </c>
      <c r="B39" s="406" t="s">
        <v>506</v>
      </c>
      <c r="C39" s="407" t="s">
        <v>597</v>
      </c>
      <c r="D39" s="408">
        <f>'Act Att-H'!D134</f>
        <v>5473046</v>
      </c>
      <c r="E39" s="404"/>
      <c r="F39" s="403">
        <f>SUM(F32:F38)</f>
        <v>9642999.2474153694</v>
      </c>
      <c r="H39" s="277"/>
    </row>
    <row r="40" spans="1:9">
      <c r="A40" s="276"/>
      <c r="D40" s="409"/>
      <c r="E40" s="296"/>
      <c r="F40" s="409"/>
      <c r="H40" s="277"/>
    </row>
    <row r="41" spans="1:9">
      <c r="C41" s="410"/>
      <c r="D41" s="410"/>
      <c r="E41" s="410"/>
      <c r="F41" s="410"/>
      <c r="I41" s="411"/>
    </row>
    <row r="42" spans="1:9">
      <c r="C42" s="410"/>
      <c r="D42" s="410"/>
      <c r="E42" s="410"/>
      <c r="F42" s="410"/>
      <c r="I42" s="411"/>
    </row>
    <row r="43" spans="1:9">
      <c r="C43" s="410"/>
      <c r="D43" s="410"/>
      <c r="E43" s="410"/>
      <c r="F43" s="410"/>
      <c r="I43" s="411"/>
    </row>
    <row r="44" spans="1:9">
      <c r="C44" s="410"/>
      <c r="D44" s="410"/>
      <c r="E44" s="410"/>
      <c r="F44" s="410"/>
      <c r="I44" s="411"/>
    </row>
    <row r="45" spans="1:9">
      <c r="C45" s="410"/>
      <c r="D45" s="410"/>
      <c r="E45" s="410"/>
      <c r="F45" s="410"/>
      <c r="I45" s="411"/>
    </row>
    <row r="46" spans="1:9">
      <c r="C46" s="410"/>
      <c r="D46" s="410"/>
      <c r="E46" s="410"/>
      <c r="F46" s="410"/>
      <c r="I46" s="411"/>
    </row>
    <row r="47" spans="1:9">
      <c r="C47" s="410"/>
      <c r="D47" s="410"/>
      <c r="E47" s="410"/>
      <c r="F47" s="410"/>
      <c r="I47" s="411"/>
    </row>
    <row r="48" spans="1:9">
      <c r="C48" s="410"/>
      <c r="D48" s="410"/>
      <c r="E48" s="410"/>
      <c r="F48" s="410"/>
      <c r="I48" s="411"/>
    </row>
    <row r="49" spans="1:8">
      <c r="A49" s="278"/>
      <c r="B49" s="412"/>
      <c r="C49" s="280"/>
      <c r="D49" s="413"/>
      <c r="E49" s="414"/>
      <c r="F49" s="415"/>
      <c r="G49" s="280"/>
      <c r="H49" s="416"/>
    </row>
    <row r="50" spans="1:8">
      <c r="A50" s="278"/>
      <c r="B50" s="280"/>
      <c r="C50" s="280"/>
      <c r="D50" s="280"/>
      <c r="E50" s="280"/>
      <c r="F50" s="280"/>
      <c r="G50" s="280"/>
      <c r="H50" s="280"/>
    </row>
    <row r="51" spans="1:8">
      <c r="A51" s="278"/>
      <c r="B51" s="412"/>
      <c r="C51" s="280"/>
      <c r="D51" s="401"/>
      <c r="E51" s="414"/>
      <c r="F51" s="415"/>
      <c r="G51" s="280"/>
      <c r="H51" s="416"/>
    </row>
    <row r="52" spans="1:8">
      <c r="A52" s="278"/>
      <c r="B52" s="412"/>
      <c r="C52" s="280"/>
      <c r="D52" s="401"/>
      <c r="E52" s="280"/>
      <c r="F52" s="417"/>
      <c r="G52" s="280"/>
      <c r="H52" s="416"/>
    </row>
    <row r="53" spans="1:8">
      <c r="A53" s="277"/>
      <c r="B53" s="412"/>
      <c r="C53" s="280"/>
      <c r="D53" s="401"/>
      <c r="E53" s="280"/>
      <c r="F53" s="417"/>
      <c r="G53" s="280"/>
      <c r="H53" s="416"/>
    </row>
    <row r="54" spans="1:8">
      <c r="B54" s="412"/>
      <c r="C54" s="280"/>
      <c r="D54" s="401"/>
      <c r="E54" s="280"/>
      <c r="F54" s="417"/>
      <c r="G54" s="280"/>
      <c r="H54" s="416"/>
    </row>
    <row r="55" spans="1:8">
      <c r="B55" s="412"/>
      <c r="C55" s="280"/>
      <c r="D55" s="401"/>
      <c r="E55" s="280"/>
      <c r="F55" s="417"/>
      <c r="G55" s="280"/>
      <c r="H55" s="416"/>
    </row>
    <row r="56" spans="1:8">
      <c r="B56" s="412"/>
      <c r="C56" s="280"/>
      <c r="D56" s="416"/>
      <c r="E56" s="280"/>
      <c r="F56" s="417"/>
      <c r="G56" s="280"/>
      <c r="H56" s="416"/>
    </row>
    <row r="57" spans="1:8">
      <c r="B57" s="412"/>
      <c r="C57" s="280"/>
      <c r="D57" s="401"/>
      <c r="E57" s="280"/>
      <c r="F57" s="417"/>
      <c r="G57" s="280"/>
      <c r="H57" s="416"/>
    </row>
    <row r="58" spans="1:8">
      <c r="B58" s="412"/>
      <c r="C58" s="280"/>
      <c r="D58" s="401"/>
      <c r="E58" s="280"/>
      <c r="F58" s="417"/>
      <c r="G58" s="280"/>
      <c r="H58" s="416"/>
    </row>
    <row r="59" spans="1:8">
      <c r="B59" s="412"/>
      <c r="C59" s="280"/>
      <c r="D59" s="401"/>
      <c r="E59" s="280"/>
      <c r="F59" s="417"/>
      <c r="G59" s="280"/>
      <c r="H59" s="416"/>
    </row>
    <row r="60" spans="1:8">
      <c r="B60" s="412"/>
      <c r="C60" s="280"/>
      <c r="D60" s="401"/>
      <c r="E60" s="280"/>
      <c r="F60" s="417"/>
      <c r="G60" s="280"/>
      <c r="H60" s="416"/>
    </row>
    <row r="61" spans="1:8">
      <c r="B61" s="412"/>
      <c r="C61" s="280"/>
      <c r="D61" s="416"/>
      <c r="E61" s="280"/>
      <c r="F61" s="417"/>
      <c r="G61" s="280"/>
      <c r="H61" s="416"/>
    </row>
    <row r="62" spans="1:8">
      <c r="B62" s="412"/>
      <c r="C62" s="280"/>
      <c r="D62" s="418"/>
      <c r="E62" s="280"/>
      <c r="F62" s="417"/>
      <c r="G62" s="280"/>
      <c r="H62" s="416"/>
    </row>
    <row r="63" spans="1:8">
      <c r="B63" s="419"/>
      <c r="C63" s="280"/>
      <c r="D63" s="401"/>
      <c r="E63" s="280"/>
      <c r="F63" s="417"/>
      <c r="G63" s="280"/>
      <c r="H63" s="416"/>
    </row>
    <row r="64" spans="1:8">
      <c r="B64" s="419"/>
      <c r="C64" s="280"/>
      <c r="D64" s="418"/>
      <c r="E64" s="280"/>
      <c r="F64" s="417"/>
      <c r="G64" s="280"/>
      <c r="H64" s="416"/>
    </row>
    <row r="65" spans="2:8">
      <c r="B65" s="419"/>
      <c r="C65" s="280"/>
      <c r="D65" s="418"/>
      <c r="E65" s="280"/>
      <c r="F65" s="417"/>
      <c r="G65" s="280"/>
      <c r="H65" s="416"/>
    </row>
    <row r="66" spans="2:8">
      <c r="B66" s="419"/>
      <c r="C66" s="280"/>
      <c r="D66" s="401"/>
      <c r="E66" s="280"/>
      <c r="F66" s="417"/>
      <c r="G66" s="280"/>
      <c r="H66" s="416"/>
    </row>
    <row r="67" spans="2:8">
      <c r="B67" s="412"/>
      <c r="C67" s="280"/>
      <c r="D67" s="280"/>
      <c r="E67" s="280"/>
      <c r="F67" s="417"/>
      <c r="G67" s="280"/>
      <c r="H67" s="416"/>
    </row>
    <row r="68" spans="2:8">
      <c r="B68" s="412"/>
      <c r="C68" s="280"/>
      <c r="D68" s="280"/>
      <c r="E68" s="280"/>
      <c r="F68" s="280"/>
      <c r="G68" s="280"/>
      <c r="H68" s="416"/>
    </row>
    <row r="69" spans="2:8">
      <c r="B69" s="412"/>
      <c r="C69" s="280"/>
      <c r="D69" s="280"/>
      <c r="E69" s="280"/>
      <c r="F69" s="280"/>
      <c r="G69" s="280"/>
      <c r="H69" s="416"/>
    </row>
    <row r="70" spans="2:8">
      <c r="B70" s="412"/>
      <c r="C70" s="280"/>
      <c r="D70" s="280"/>
      <c r="E70" s="280"/>
      <c r="F70" s="280"/>
      <c r="G70" s="280"/>
      <c r="H70" s="416"/>
    </row>
    <row r="71" spans="2:8">
      <c r="B71" s="412"/>
      <c r="C71" s="280"/>
      <c r="D71" s="280"/>
      <c r="E71" s="280"/>
      <c r="F71" s="280"/>
      <c r="G71" s="280"/>
      <c r="H71" s="416"/>
    </row>
    <row r="72" spans="2:8">
      <c r="B72" s="419"/>
      <c r="C72" s="280"/>
      <c r="D72" s="416"/>
      <c r="E72" s="280"/>
      <c r="F72" s="417"/>
      <c r="G72" s="280"/>
      <c r="H72" s="416"/>
    </row>
    <row r="73" spans="2:8">
      <c r="B73" s="419"/>
      <c r="C73" s="280"/>
      <c r="D73" s="416"/>
      <c r="E73" s="280"/>
      <c r="F73" s="280"/>
      <c r="G73" s="280"/>
      <c r="H73" s="416"/>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workbookViewId="0">
      <selection activeCell="A31" sqref="A31"/>
    </sheetView>
  </sheetViews>
  <sheetFormatPr defaultColWidth="8.81640625" defaultRowHeight="13.2"/>
  <cols>
    <col min="1" max="1" width="5.1796875" style="274" customWidth="1"/>
    <col min="2" max="2" width="15.08984375" style="274" customWidth="1"/>
    <col min="3" max="3" width="19.08984375" style="274" bestFit="1" customWidth="1"/>
    <col min="4" max="4" width="17.08984375" style="274" customWidth="1"/>
    <col min="5" max="5" width="17.453125" style="274" customWidth="1"/>
    <col min="6" max="6" width="13.81640625" style="274" customWidth="1"/>
    <col min="7" max="7" width="12.54296875" style="274" customWidth="1"/>
    <col min="8" max="8" width="7" style="274" customWidth="1"/>
    <col min="9" max="9" width="7.81640625" style="274" bestFit="1" customWidth="1"/>
    <col min="10" max="10" width="2.1796875" style="274" customWidth="1"/>
    <col min="11" max="11" width="6.81640625" style="274" customWidth="1"/>
    <col min="12" max="16384" width="8.81640625" style="274"/>
  </cols>
  <sheetData>
    <row r="1" spans="1:14">
      <c r="A1" s="835" t="s">
        <v>560</v>
      </c>
      <c r="B1" s="835"/>
      <c r="C1" s="835"/>
      <c r="D1" s="835"/>
      <c r="E1" s="835"/>
      <c r="F1" s="835"/>
      <c r="G1" s="835"/>
    </row>
    <row r="2" spans="1:14">
      <c r="A2" s="835" t="s">
        <v>711</v>
      </c>
      <c r="B2" s="835"/>
      <c r="C2" s="835"/>
      <c r="D2" s="835"/>
      <c r="E2" s="835"/>
      <c r="F2" s="835"/>
      <c r="G2" s="835"/>
    </row>
    <row r="3" spans="1:14">
      <c r="A3" s="835" t="str">
        <f>'P1-Trans Plant'!B3</f>
        <v>Cheyenne Light, Fuel &amp; Power</v>
      </c>
      <c r="B3" s="835"/>
      <c r="C3" s="835"/>
      <c r="D3" s="835"/>
      <c r="E3" s="835"/>
      <c r="F3" s="835"/>
      <c r="G3" s="835"/>
    </row>
    <row r="4" spans="1:14">
      <c r="A4" s="296"/>
      <c r="B4" s="296"/>
      <c r="C4" s="296"/>
      <c r="D4" s="296"/>
      <c r="E4" s="296"/>
      <c r="F4" s="296"/>
      <c r="G4" s="386" t="s">
        <v>673</v>
      </c>
    </row>
    <row r="5" spans="1:14">
      <c r="A5" s="301" t="s">
        <v>507</v>
      </c>
      <c r="B5" s="296"/>
      <c r="C5" s="296"/>
      <c r="D5" s="296"/>
      <c r="E5" s="296"/>
      <c r="F5" s="296"/>
      <c r="G5" s="296"/>
    </row>
    <row r="6" spans="1:14">
      <c r="A6" s="302"/>
      <c r="B6" s="296"/>
      <c r="C6" s="296"/>
      <c r="D6" s="296"/>
      <c r="E6" s="296"/>
      <c r="F6" s="296"/>
      <c r="G6" s="296"/>
    </row>
    <row r="7" spans="1:14" ht="15" customHeight="1">
      <c r="A7" s="303">
        <v>1</v>
      </c>
      <c r="B7" s="296" t="s">
        <v>508</v>
      </c>
      <c r="C7" s="296"/>
      <c r="D7" s="296"/>
      <c r="E7" s="296"/>
      <c r="F7" s="296"/>
      <c r="G7" s="296"/>
      <c r="I7" s="511"/>
      <c r="J7" s="296"/>
      <c r="K7" s="511"/>
      <c r="L7" s="296"/>
      <c r="M7" s="512"/>
      <c r="N7" s="296"/>
    </row>
    <row r="8" spans="1:14">
      <c r="A8" s="296"/>
      <c r="B8" s="296"/>
      <c r="C8" s="296"/>
      <c r="D8" s="296"/>
      <c r="E8" s="296"/>
      <c r="F8" s="296"/>
      <c r="G8" s="296"/>
    </row>
    <row r="9" spans="1:14">
      <c r="A9" s="296"/>
      <c r="B9" s="513" t="s">
        <v>509</v>
      </c>
      <c r="C9" s="514" t="s">
        <v>510</v>
      </c>
      <c r="D9" s="513" t="s">
        <v>511</v>
      </c>
      <c r="E9" s="513" t="s">
        <v>512</v>
      </c>
      <c r="F9" s="513" t="s">
        <v>513</v>
      </c>
      <c r="G9" s="513" t="s">
        <v>514</v>
      </c>
    </row>
    <row r="10" spans="1:14" ht="92.25" customHeight="1">
      <c r="A10" s="296"/>
      <c r="B10" s="304" t="s">
        <v>268</v>
      </c>
      <c r="C10" s="304" t="s">
        <v>567</v>
      </c>
      <c r="D10" s="305" t="s">
        <v>565</v>
      </c>
      <c r="E10" s="305" t="s">
        <v>564</v>
      </c>
      <c r="F10" s="304" t="s">
        <v>566</v>
      </c>
      <c r="G10" s="304" t="s">
        <v>515</v>
      </c>
    </row>
    <row r="11" spans="1:14">
      <c r="A11" s="303">
        <v>2</v>
      </c>
      <c r="B11" s="515" t="s">
        <v>165</v>
      </c>
      <c r="C11" s="516"/>
      <c r="D11" s="516"/>
      <c r="E11" s="517"/>
      <c r="F11" s="518">
        <v>314000</v>
      </c>
      <c r="G11" s="519">
        <f t="shared" ref="G11:G18" si="0">F11</f>
        <v>314000</v>
      </c>
      <c r="I11" s="520"/>
    </row>
    <row r="12" spans="1:14">
      <c r="A12" s="303">
        <v>3</v>
      </c>
      <c r="B12" s="515" t="s">
        <v>166</v>
      </c>
      <c r="C12" s="521"/>
      <c r="D12" s="521"/>
      <c r="E12" s="522"/>
      <c r="F12" s="518">
        <v>300000</v>
      </c>
      <c r="G12" s="519">
        <f t="shared" si="0"/>
        <v>300000</v>
      </c>
    </row>
    <row r="13" spans="1:14">
      <c r="A13" s="303">
        <v>4</v>
      </c>
      <c r="B13" s="515" t="s">
        <v>516</v>
      </c>
      <c r="C13" s="521"/>
      <c r="D13" s="521"/>
      <c r="E13" s="522"/>
      <c r="F13" s="518">
        <v>298000</v>
      </c>
      <c r="G13" s="519">
        <f t="shared" si="0"/>
        <v>298000</v>
      </c>
    </row>
    <row r="14" spans="1:14">
      <c r="A14" s="303">
        <v>5</v>
      </c>
      <c r="B14" s="515" t="s">
        <v>167</v>
      </c>
      <c r="C14" s="521"/>
      <c r="D14" s="521"/>
      <c r="E14" s="522"/>
      <c r="F14" s="518">
        <v>302000</v>
      </c>
      <c r="G14" s="519">
        <f t="shared" si="0"/>
        <v>302000</v>
      </c>
    </row>
    <row r="15" spans="1:14">
      <c r="A15" s="303">
        <v>6</v>
      </c>
      <c r="B15" s="515" t="s">
        <v>168</v>
      </c>
      <c r="C15" s="521"/>
      <c r="D15" s="521"/>
      <c r="E15" s="522"/>
      <c r="F15" s="518">
        <v>290000</v>
      </c>
      <c r="G15" s="519">
        <f t="shared" si="0"/>
        <v>290000</v>
      </c>
    </row>
    <row r="16" spans="1:14">
      <c r="A16" s="303">
        <v>7</v>
      </c>
      <c r="B16" s="515" t="s">
        <v>169</v>
      </c>
      <c r="C16" s="521"/>
      <c r="D16" s="521"/>
      <c r="E16" s="522"/>
      <c r="F16" s="518">
        <v>293000</v>
      </c>
      <c r="G16" s="519">
        <f t="shared" si="0"/>
        <v>293000</v>
      </c>
    </row>
    <row r="17" spans="1:15">
      <c r="A17" s="303">
        <v>8</v>
      </c>
      <c r="B17" s="515" t="s">
        <v>170</v>
      </c>
      <c r="C17" s="521"/>
      <c r="D17" s="521"/>
      <c r="E17" s="522"/>
      <c r="F17" s="518">
        <v>308000</v>
      </c>
      <c r="G17" s="519">
        <f t="shared" si="0"/>
        <v>308000</v>
      </c>
    </row>
    <row r="18" spans="1:15">
      <c r="A18" s="303">
        <v>9</v>
      </c>
      <c r="B18" s="515" t="s">
        <v>517</v>
      </c>
      <c r="C18" s="523"/>
      <c r="D18" s="523"/>
      <c r="E18" s="524"/>
      <c r="F18" s="518">
        <v>309000</v>
      </c>
      <c r="G18" s="519">
        <f t="shared" si="0"/>
        <v>309000</v>
      </c>
      <c r="I18" s="525"/>
    </row>
    <row r="19" spans="1:15">
      <c r="A19" s="303">
        <v>10</v>
      </c>
      <c r="B19" s="526" t="s">
        <v>171</v>
      </c>
      <c r="C19" s="527">
        <f>'A6-Divisor'!G16</f>
        <v>1.0799289520426287</v>
      </c>
      <c r="D19" s="528">
        <f>AVERAGE($F$11:$F$18)</f>
        <v>301750</v>
      </c>
      <c r="E19" s="529">
        <f>C19*D19</f>
        <v>325868.56127886323</v>
      </c>
      <c r="F19" s="517"/>
      <c r="G19" s="530">
        <f>E19</f>
        <v>325868.56127886323</v>
      </c>
    </row>
    <row r="20" spans="1:15">
      <c r="A20" s="303">
        <v>11</v>
      </c>
      <c r="B20" s="526" t="s">
        <v>172</v>
      </c>
      <c r="C20" s="527">
        <f>'A6-Divisor'!G17</f>
        <v>1.0621669626998225</v>
      </c>
      <c r="D20" s="528">
        <f>AVERAGE($F$11:$F$18)</f>
        <v>301750</v>
      </c>
      <c r="E20" s="529">
        <f>C20*D20</f>
        <v>320508.88099467143</v>
      </c>
      <c r="F20" s="522"/>
      <c r="G20" s="530">
        <f>E20</f>
        <v>320508.88099467143</v>
      </c>
    </row>
    <row r="21" spans="1:15">
      <c r="A21" s="303">
        <v>12</v>
      </c>
      <c r="B21" s="526" t="s">
        <v>173</v>
      </c>
      <c r="C21" s="527">
        <f>'A6-Divisor'!G18</f>
        <v>1.0550621669626998</v>
      </c>
      <c r="D21" s="528">
        <f>AVERAGE($F$11:$F$18)</f>
        <v>301750</v>
      </c>
      <c r="E21" s="529">
        <f>C21*D21</f>
        <v>318365.00888099469</v>
      </c>
      <c r="F21" s="522"/>
      <c r="G21" s="530">
        <f>E21</f>
        <v>318365.00888099469</v>
      </c>
    </row>
    <row r="22" spans="1:15">
      <c r="A22" s="303">
        <v>13</v>
      </c>
      <c r="B22" s="526" t="s">
        <v>518</v>
      </c>
      <c r="C22" s="527">
        <f>'A6-Divisor'!G19</f>
        <v>1.0692717584369449</v>
      </c>
      <c r="D22" s="528">
        <f>AVERAGE($F$11:$F$18)</f>
        <v>301750</v>
      </c>
      <c r="E22" s="529">
        <f>C22*D22</f>
        <v>322652.75310834812</v>
      </c>
      <c r="F22" s="522"/>
      <c r="G22" s="530">
        <f>E22</f>
        <v>322652.75310834812</v>
      </c>
    </row>
    <row r="23" spans="1:15">
      <c r="A23" s="303">
        <v>14</v>
      </c>
      <c r="B23" s="531" t="s">
        <v>9</v>
      </c>
      <c r="C23" s="532"/>
      <c r="D23" s="533"/>
      <c r="E23" s="533"/>
      <c r="F23" s="532"/>
      <c r="G23" s="534">
        <f>SUM(G11:G22)</f>
        <v>3701395.2042628778</v>
      </c>
      <c r="L23" s="276"/>
    </row>
    <row r="24" spans="1:15">
      <c r="A24" s="303">
        <v>15</v>
      </c>
      <c r="B24" s="531" t="s">
        <v>253</v>
      </c>
      <c r="C24" s="532"/>
      <c r="D24" s="533"/>
      <c r="E24" s="533"/>
      <c r="F24" s="532"/>
      <c r="G24" s="535">
        <f>G23/12</f>
        <v>308449.60035523982</v>
      </c>
    </row>
    <row r="25" spans="1:15">
      <c r="A25" s="296"/>
      <c r="B25" s="296"/>
      <c r="C25" s="296"/>
      <c r="D25" s="296"/>
      <c r="E25" s="296"/>
      <c r="F25" s="296"/>
      <c r="G25" s="296"/>
    </row>
    <row r="26" spans="1:15">
      <c r="A26" s="296"/>
      <c r="B26" s="296"/>
      <c r="C26" s="296"/>
      <c r="D26" s="296"/>
      <c r="E26" s="296"/>
      <c r="F26" s="296"/>
      <c r="G26" s="296"/>
    </row>
    <row r="27" spans="1:15" ht="30" customHeight="1">
      <c r="A27" s="536" t="s">
        <v>519</v>
      </c>
      <c r="B27" s="836" t="s">
        <v>802</v>
      </c>
      <c r="C27" s="837"/>
      <c r="D27" s="837"/>
      <c r="E27" s="837"/>
      <c r="F27" s="837"/>
      <c r="G27" s="837"/>
      <c r="H27" s="537"/>
      <c r="I27" s="537"/>
      <c r="J27" s="537"/>
      <c r="K27" s="537"/>
      <c r="L27" s="537"/>
      <c r="M27" s="537"/>
      <c r="N27" s="537"/>
      <c r="O27" s="537"/>
    </row>
    <row r="28" spans="1:15">
      <c r="A28" s="296"/>
      <c r="B28" s="538" t="s">
        <v>803</v>
      </c>
      <c r="C28" s="539"/>
      <c r="D28" s="539"/>
      <c r="E28" s="539"/>
      <c r="F28" s="539"/>
      <c r="G28" s="539"/>
      <c r="H28" s="540"/>
      <c r="I28" s="540"/>
    </row>
    <row r="29" spans="1:15">
      <c r="A29" s="296"/>
      <c r="B29" s="298" t="s">
        <v>965</v>
      </c>
      <c r="C29" s="539"/>
      <c r="D29" s="539"/>
      <c r="E29" s="539"/>
      <c r="F29" s="539"/>
      <c r="G29" s="539"/>
      <c r="H29" s="540"/>
      <c r="I29" s="540"/>
    </row>
    <row r="30" spans="1:15" ht="17.25" customHeight="1">
      <c r="A30" s="296"/>
      <c r="B30" s="838" t="s">
        <v>804</v>
      </c>
      <c r="C30" s="839"/>
      <c r="D30" s="839"/>
      <c r="E30" s="839"/>
      <c r="F30" s="839"/>
      <c r="G30" s="839"/>
    </row>
    <row r="35" spans="2:4" ht="13.8">
      <c r="B35" s="296"/>
      <c r="C35" s="541"/>
      <c r="D35" s="296"/>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zoomScale="80" zoomScaleNormal="80" workbookViewId="0">
      <selection activeCell="A57" sqref="A57"/>
    </sheetView>
  </sheetViews>
  <sheetFormatPr defaultColWidth="8.81640625" defaultRowHeight="13.8"/>
  <cols>
    <col min="1" max="1" width="5.81640625" style="1" customWidth="1"/>
    <col min="2" max="2" width="9.81640625" style="27" customWidth="1"/>
    <col min="3" max="6" width="12.81640625" style="2" customWidth="1"/>
    <col min="7" max="7" width="3" style="27" customWidth="1"/>
    <col min="8" max="11" width="12.81640625" style="2" customWidth="1"/>
    <col min="12" max="12" width="15.1796875" style="2" bestFit="1" customWidth="1"/>
    <col min="13" max="15" width="12.81640625" style="2" customWidth="1"/>
    <col min="16" max="16" width="10.81640625" style="2" customWidth="1"/>
    <col min="17" max="17" width="8.81640625" style="4"/>
    <col min="18" max="16384" width="8.81640625" style="2"/>
  </cols>
  <sheetData>
    <row r="1" spans="1:19">
      <c r="A1" s="793" t="s">
        <v>728</v>
      </c>
      <c r="B1" s="793"/>
      <c r="C1" s="793"/>
      <c r="D1" s="793"/>
      <c r="E1" s="793"/>
      <c r="F1" s="793"/>
      <c r="G1" s="793"/>
      <c r="H1" s="793"/>
      <c r="I1" s="793"/>
      <c r="J1" s="793"/>
      <c r="K1" s="793"/>
      <c r="L1" s="793"/>
      <c r="M1" s="793"/>
      <c r="N1" s="793"/>
      <c r="O1" s="793"/>
    </row>
    <row r="2" spans="1:19">
      <c r="A2" s="813" t="s">
        <v>710</v>
      </c>
      <c r="B2" s="813"/>
      <c r="C2" s="813"/>
      <c r="D2" s="813"/>
      <c r="E2" s="813"/>
      <c r="F2" s="813"/>
      <c r="G2" s="813"/>
      <c r="H2" s="813"/>
      <c r="I2" s="813"/>
      <c r="J2" s="813"/>
      <c r="K2" s="813"/>
      <c r="L2" s="813"/>
      <c r="M2" s="813"/>
      <c r="N2" s="813"/>
      <c r="O2" s="813"/>
    </row>
    <row r="3" spans="1:19">
      <c r="A3" s="814" t="str">
        <f>'Act Att-H'!C7</f>
        <v>Cheyenne Light, Fuel &amp; Power</v>
      </c>
      <c r="B3" s="814"/>
      <c r="C3" s="814"/>
      <c r="D3" s="814"/>
      <c r="E3" s="814"/>
      <c r="F3" s="814"/>
      <c r="G3" s="814"/>
      <c r="H3" s="814"/>
      <c r="I3" s="814"/>
      <c r="J3" s="814"/>
      <c r="K3" s="814"/>
      <c r="L3" s="814"/>
      <c r="M3" s="814"/>
      <c r="N3" s="814"/>
      <c r="O3" s="814"/>
    </row>
    <row r="4" spans="1:19">
      <c r="A4" s="5"/>
      <c r="C4" s="3"/>
      <c r="D4" s="3"/>
      <c r="E4" s="3"/>
      <c r="F4" s="3"/>
      <c r="G4" s="343"/>
      <c r="H4" s="3"/>
      <c r="I4" s="3"/>
      <c r="J4" s="3"/>
      <c r="O4" s="6" t="s">
        <v>673</v>
      </c>
    </row>
    <row r="5" spans="1:19" ht="15" customHeight="1">
      <c r="A5" s="44"/>
      <c r="C5" s="46"/>
      <c r="D5" s="46"/>
      <c r="E5" s="46"/>
      <c r="F5" s="46"/>
      <c r="G5" s="344"/>
    </row>
    <row r="6" spans="1:19" s="313" customFormat="1">
      <c r="A6" s="347" t="s">
        <v>4</v>
      </c>
      <c r="G6" s="322"/>
      <c r="H6" s="355" t="s">
        <v>694</v>
      </c>
      <c r="I6" s="596" t="s">
        <v>1030</v>
      </c>
      <c r="P6" s="2"/>
      <c r="Q6" s="4"/>
      <c r="R6" s="2"/>
      <c r="S6" s="2"/>
    </row>
    <row r="7" spans="1:19" s="313" customFormat="1">
      <c r="A7" s="345">
        <v>1</v>
      </c>
      <c r="B7" s="322"/>
      <c r="C7" s="840"/>
      <c r="D7" s="840"/>
      <c r="E7" s="840"/>
      <c r="F7" s="840"/>
      <c r="G7" s="322"/>
      <c r="H7" s="314" t="s">
        <v>687</v>
      </c>
      <c r="I7" s="335" t="s">
        <v>695</v>
      </c>
      <c r="J7" s="335"/>
      <c r="K7" s="361"/>
      <c r="L7" s="314" t="s">
        <v>687</v>
      </c>
      <c r="M7" s="335" t="s">
        <v>697</v>
      </c>
      <c r="N7" s="335"/>
      <c r="O7" s="361"/>
      <c r="P7" s="2"/>
      <c r="Q7" s="4"/>
      <c r="R7" s="2"/>
      <c r="S7" s="2"/>
    </row>
    <row r="8" spans="1:19" s="313" customFormat="1">
      <c r="A8" s="345">
        <f>A7+1</f>
        <v>2</v>
      </c>
      <c r="G8" s="322"/>
      <c r="H8" s="315" t="s">
        <v>696</v>
      </c>
      <c r="I8" s="336" t="s">
        <v>688</v>
      </c>
      <c r="J8" s="336"/>
      <c r="K8" s="316"/>
      <c r="L8" s="315" t="s">
        <v>696</v>
      </c>
      <c r="M8" s="336" t="s">
        <v>688</v>
      </c>
      <c r="N8" s="336"/>
      <c r="O8" s="316"/>
      <c r="P8" s="2"/>
      <c r="Q8" s="4"/>
      <c r="R8" s="2"/>
      <c r="S8" s="2"/>
    </row>
    <row r="9" spans="1:19" s="313" customFormat="1">
      <c r="A9" s="345">
        <f t="shared" ref="A9:A14" si="0">A8+1</f>
        <v>3</v>
      </c>
      <c r="B9" s="322"/>
      <c r="C9" s="840"/>
      <c r="D9" s="840"/>
      <c r="E9" s="840"/>
      <c r="F9" s="840"/>
      <c r="G9" s="322"/>
      <c r="H9" s="315" t="s">
        <v>714</v>
      </c>
      <c r="I9" s="337">
        <v>0</v>
      </c>
      <c r="J9" s="337"/>
      <c r="K9" s="316" t="s">
        <v>636</v>
      </c>
      <c r="L9" s="315" t="s">
        <v>714</v>
      </c>
      <c r="M9" s="337">
        <v>0</v>
      </c>
      <c r="N9" s="337"/>
      <c r="O9" s="316" t="s">
        <v>636</v>
      </c>
      <c r="P9" s="2"/>
      <c r="Q9" s="4"/>
      <c r="R9" s="2"/>
      <c r="S9" s="2"/>
    </row>
    <row r="10" spans="1:19" s="313" customFormat="1">
      <c r="A10" s="345">
        <f t="shared" si="0"/>
        <v>4</v>
      </c>
      <c r="G10" s="322"/>
      <c r="H10" s="315" t="s">
        <v>690</v>
      </c>
      <c r="I10" s="337">
        <v>0</v>
      </c>
      <c r="J10" s="337"/>
      <c r="K10" s="316" t="s">
        <v>700</v>
      </c>
      <c r="L10" s="315" t="s">
        <v>690</v>
      </c>
      <c r="M10" s="337">
        <v>0</v>
      </c>
      <c r="N10" s="337"/>
      <c r="O10" s="316" t="s">
        <v>700</v>
      </c>
      <c r="P10" s="2"/>
      <c r="Q10" s="4"/>
      <c r="R10" s="2"/>
      <c r="S10" s="2"/>
    </row>
    <row r="11" spans="1:19" s="313" customFormat="1">
      <c r="A11" s="345">
        <f t="shared" si="0"/>
        <v>5</v>
      </c>
      <c r="B11" s="322"/>
      <c r="C11" s="840"/>
      <c r="D11" s="840"/>
      <c r="E11" s="840"/>
      <c r="F11" s="840"/>
      <c r="G11" s="322"/>
      <c r="H11" s="315" t="s">
        <v>713</v>
      </c>
      <c r="I11" s="317">
        <f>I10*'Act Att-H'!E214</f>
        <v>0</v>
      </c>
      <c r="J11" s="317"/>
      <c r="K11" s="316"/>
      <c r="L11" s="315" t="s">
        <v>713</v>
      </c>
      <c r="M11" s="317">
        <f>M10*'Act Att-H'!E214</f>
        <v>0</v>
      </c>
      <c r="N11" s="317"/>
      <c r="O11" s="316"/>
      <c r="P11" s="2"/>
      <c r="Q11" s="4"/>
      <c r="R11" s="2"/>
      <c r="S11" s="2"/>
    </row>
    <row r="12" spans="1:19" s="313" customFormat="1">
      <c r="A12" s="345">
        <f t="shared" si="0"/>
        <v>6</v>
      </c>
      <c r="G12" s="322"/>
      <c r="H12" s="315" t="s">
        <v>691</v>
      </c>
      <c r="I12" s="339"/>
      <c r="J12" s="339"/>
      <c r="K12" s="316"/>
      <c r="L12" s="315" t="s">
        <v>691</v>
      </c>
      <c r="M12" s="339"/>
      <c r="N12" s="339"/>
      <c r="O12" s="316"/>
      <c r="P12" s="2"/>
      <c r="Q12" s="4"/>
      <c r="R12" s="2"/>
      <c r="S12" s="2"/>
    </row>
    <row r="13" spans="1:19" s="313" customFormat="1">
      <c r="A13" s="345">
        <f t="shared" si="0"/>
        <v>7</v>
      </c>
      <c r="B13" s="322"/>
      <c r="C13" s="840"/>
      <c r="D13" s="840"/>
      <c r="E13" s="840"/>
      <c r="F13" s="840"/>
      <c r="G13" s="322"/>
      <c r="H13" s="315"/>
      <c r="I13" s="3"/>
      <c r="J13" s="3"/>
      <c r="K13" s="316"/>
      <c r="L13" s="315"/>
      <c r="M13" s="3"/>
      <c r="N13" s="3"/>
      <c r="O13" s="316"/>
      <c r="P13" s="2"/>
      <c r="Q13" s="4"/>
      <c r="R13" s="2"/>
      <c r="S13" s="2"/>
    </row>
    <row r="14" spans="1:19" s="313" customFormat="1">
      <c r="A14" s="345">
        <f t="shared" si="0"/>
        <v>8</v>
      </c>
      <c r="B14" s="322"/>
      <c r="C14" s="812" t="s">
        <v>9</v>
      </c>
      <c r="D14" s="812"/>
      <c r="E14" s="812"/>
      <c r="F14" s="812"/>
      <c r="G14" s="322"/>
      <c r="H14" s="315"/>
      <c r="I14" s="3"/>
      <c r="J14" s="3"/>
      <c r="K14" s="316"/>
      <c r="L14" s="315"/>
      <c r="M14" s="3"/>
      <c r="N14" s="3"/>
      <c r="O14" s="316"/>
      <c r="P14" s="2"/>
      <c r="Q14" s="4"/>
      <c r="R14" s="2"/>
      <c r="S14" s="2"/>
    </row>
    <row r="15" spans="1:19" s="313" customFormat="1">
      <c r="A15" s="345"/>
      <c r="B15" s="322"/>
      <c r="G15" s="322"/>
      <c r="H15" s="315"/>
      <c r="I15" s="3"/>
      <c r="J15" s="3"/>
      <c r="K15" s="316"/>
      <c r="L15" s="315"/>
      <c r="M15" s="3"/>
      <c r="N15" s="3"/>
      <c r="O15" s="316"/>
      <c r="P15" s="2"/>
      <c r="Q15" s="4"/>
      <c r="R15" s="2"/>
      <c r="S15" s="2"/>
    </row>
    <row r="16" spans="1:19" s="313" customFormat="1">
      <c r="A16" s="322"/>
      <c r="B16" s="342" t="s">
        <v>712</v>
      </c>
      <c r="C16" s="342" t="s">
        <v>485</v>
      </c>
      <c r="D16" s="342" t="s">
        <v>486</v>
      </c>
      <c r="E16" s="342" t="s">
        <v>487</v>
      </c>
      <c r="F16" s="342" t="s">
        <v>707</v>
      </c>
      <c r="G16" s="322"/>
      <c r="H16" s="357" t="s">
        <v>485</v>
      </c>
      <c r="I16" s="342" t="s">
        <v>486</v>
      </c>
      <c r="J16" s="342" t="s">
        <v>487</v>
      </c>
      <c r="K16" s="362" t="s">
        <v>693</v>
      </c>
      <c r="L16" s="357" t="s">
        <v>485</v>
      </c>
      <c r="M16" s="342" t="s">
        <v>486</v>
      </c>
      <c r="N16" s="342" t="s">
        <v>487</v>
      </c>
      <c r="O16" s="362" t="s">
        <v>693</v>
      </c>
      <c r="P16" s="2"/>
      <c r="Q16" s="4"/>
      <c r="R16" s="2"/>
      <c r="S16" s="2"/>
    </row>
    <row r="17" spans="1:19" s="313" customFormat="1">
      <c r="A17" s="322"/>
      <c r="B17" s="319" t="s">
        <v>157</v>
      </c>
      <c r="C17" s="319" t="s">
        <v>158</v>
      </c>
      <c r="D17" s="319" t="s">
        <v>703</v>
      </c>
      <c r="E17" s="319" t="s">
        <v>704</v>
      </c>
      <c r="F17" s="319" t="s">
        <v>705</v>
      </c>
      <c r="G17" s="319"/>
      <c r="H17" s="358" t="s">
        <v>715</v>
      </c>
      <c r="I17" s="319" t="s">
        <v>716</v>
      </c>
      <c r="J17" s="319" t="s">
        <v>717</v>
      </c>
      <c r="K17" s="318" t="s">
        <v>718</v>
      </c>
      <c r="L17" s="358" t="s">
        <v>719</v>
      </c>
      <c r="M17" s="319" t="s">
        <v>720</v>
      </c>
      <c r="N17" s="319" t="s">
        <v>721</v>
      </c>
      <c r="O17" s="318" t="s">
        <v>722</v>
      </c>
      <c r="P17" s="2"/>
      <c r="Q17" s="4"/>
      <c r="R17" s="2"/>
      <c r="S17" s="2"/>
    </row>
    <row r="18" spans="1:19" s="313" customFormat="1">
      <c r="A18" s="322"/>
      <c r="B18" s="322"/>
      <c r="G18" s="322"/>
      <c r="H18" s="340">
        <f>I12</f>
        <v>0</v>
      </c>
      <c r="I18" s="322"/>
      <c r="J18" s="322"/>
      <c r="K18" s="323"/>
      <c r="L18" s="340">
        <f>M12</f>
        <v>0</v>
      </c>
      <c r="M18" s="322"/>
      <c r="N18" s="322"/>
      <c r="O18" s="323"/>
      <c r="P18" s="2"/>
      <c r="Q18" s="4"/>
      <c r="R18" s="2"/>
      <c r="S18" s="2"/>
    </row>
    <row r="19" spans="1:19" s="313" customFormat="1">
      <c r="A19" s="345">
        <f>A14+1</f>
        <v>9</v>
      </c>
      <c r="B19" s="287">
        <f>'P1-Trans Plant'!B18</f>
        <v>45292</v>
      </c>
      <c r="C19" s="324">
        <f>+H19+L19</f>
        <v>0</v>
      </c>
      <c r="D19" s="324">
        <f t="shared" ref="D19:E19" si="1">+I19+M19</f>
        <v>0</v>
      </c>
      <c r="E19" s="324">
        <f t="shared" si="1"/>
        <v>0</v>
      </c>
      <c r="F19" s="356"/>
      <c r="G19" s="345"/>
      <c r="H19" s="340">
        <f>H18</f>
        <v>0</v>
      </c>
      <c r="I19" s="686">
        <f>H19*I$9</f>
        <v>0</v>
      </c>
      <c r="J19" s="686">
        <f>I19</f>
        <v>0</v>
      </c>
      <c r="K19" s="326">
        <f>+H19-J19</f>
        <v>0</v>
      </c>
      <c r="L19" s="340">
        <f>L18</f>
        <v>0</v>
      </c>
      <c r="M19" s="686">
        <f>L19*M$9</f>
        <v>0</v>
      </c>
      <c r="N19" s="686">
        <f>M19</f>
        <v>0</v>
      </c>
      <c r="O19" s="326">
        <f>+L19-N19</f>
        <v>0</v>
      </c>
      <c r="P19" s="2"/>
      <c r="Q19" s="4"/>
      <c r="R19" s="2"/>
      <c r="S19" s="2"/>
    </row>
    <row r="20" spans="1:19" s="313" customFormat="1">
      <c r="A20" s="345">
        <f t="shared" ref="A20:A42" si="2">A19+1</f>
        <v>10</v>
      </c>
      <c r="B20" s="287">
        <f>'P1-Trans Plant'!B19</f>
        <v>45323</v>
      </c>
      <c r="C20" s="324">
        <f t="shared" ref="C20:C42" si="3">+H20+L20</f>
        <v>0</v>
      </c>
      <c r="D20" s="324">
        <f t="shared" ref="D20:D42" si="4">+I20+M20</f>
        <v>0</v>
      </c>
      <c r="E20" s="324">
        <f t="shared" ref="E20:E42" si="5">+J20+N20</f>
        <v>0</v>
      </c>
      <c r="F20" s="356"/>
      <c r="G20" s="345"/>
      <c r="H20" s="340">
        <v>0</v>
      </c>
      <c r="I20" s="686">
        <f t="shared" ref="I20:I42" si="6">H20*I$9</f>
        <v>0</v>
      </c>
      <c r="J20" s="686">
        <f>J19+I20</f>
        <v>0</v>
      </c>
      <c r="K20" s="326">
        <f>+H20-J20</f>
        <v>0</v>
      </c>
      <c r="L20" s="340">
        <v>0</v>
      </c>
      <c r="M20" s="686">
        <f t="shared" ref="M20:M42" si="7">L20*M$9</f>
        <v>0</v>
      </c>
      <c r="N20" s="686">
        <f>N19+M20</f>
        <v>0</v>
      </c>
      <c r="O20" s="326">
        <f>+L20-N20</f>
        <v>0</v>
      </c>
      <c r="P20" s="2"/>
      <c r="Q20" s="4"/>
      <c r="R20" s="2"/>
      <c r="S20" s="2"/>
    </row>
    <row r="21" spans="1:19" s="313" customFormat="1">
      <c r="A21" s="345">
        <f t="shared" si="2"/>
        <v>11</v>
      </c>
      <c r="B21" s="287">
        <f>'P1-Trans Plant'!B20</f>
        <v>45352</v>
      </c>
      <c r="C21" s="324">
        <f t="shared" si="3"/>
        <v>0</v>
      </c>
      <c r="D21" s="324">
        <f t="shared" si="4"/>
        <v>0</v>
      </c>
      <c r="E21" s="324">
        <f t="shared" si="5"/>
        <v>0</v>
      </c>
      <c r="F21" s="356"/>
      <c r="G21" s="345"/>
      <c r="H21" s="340">
        <v>0</v>
      </c>
      <c r="I21" s="686">
        <f t="shared" si="6"/>
        <v>0</v>
      </c>
      <c r="J21" s="686">
        <f t="shared" ref="J21:J42" si="8">J20+I21</f>
        <v>0</v>
      </c>
      <c r="K21" s="326">
        <f t="shared" ref="K21:K42" si="9">+H21-J21</f>
        <v>0</v>
      </c>
      <c r="L21" s="340">
        <v>0</v>
      </c>
      <c r="M21" s="686">
        <f t="shared" si="7"/>
        <v>0</v>
      </c>
      <c r="N21" s="686">
        <f t="shared" ref="N21:N42" si="10">N20+M21</f>
        <v>0</v>
      </c>
      <c r="O21" s="326">
        <f t="shared" ref="O21:O42" si="11">+L21-N21</f>
        <v>0</v>
      </c>
      <c r="P21" s="2"/>
      <c r="Q21" s="4"/>
      <c r="R21" s="2"/>
      <c r="S21" s="2"/>
    </row>
    <row r="22" spans="1:19" s="313" customFormat="1">
      <c r="A22" s="345">
        <f t="shared" si="2"/>
        <v>12</v>
      </c>
      <c r="B22" s="287">
        <f>'P1-Trans Plant'!B21</f>
        <v>45383</v>
      </c>
      <c r="C22" s="324">
        <f t="shared" si="3"/>
        <v>0</v>
      </c>
      <c r="D22" s="324">
        <f t="shared" si="4"/>
        <v>0</v>
      </c>
      <c r="E22" s="324">
        <f t="shared" si="5"/>
        <v>0</v>
      </c>
      <c r="F22" s="356"/>
      <c r="G22" s="345"/>
      <c r="H22" s="340">
        <v>0</v>
      </c>
      <c r="I22" s="686">
        <f t="shared" si="6"/>
        <v>0</v>
      </c>
      <c r="J22" s="686">
        <f t="shared" si="8"/>
        <v>0</v>
      </c>
      <c r="K22" s="326">
        <f t="shared" si="9"/>
        <v>0</v>
      </c>
      <c r="L22" s="340">
        <v>0</v>
      </c>
      <c r="M22" s="686">
        <f t="shared" si="7"/>
        <v>0</v>
      </c>
      <c r="N22" s="686">
        <f t="shared" si="10"/>
        <v>0</v>
      </c>
      <c r="O22" s="326">
        <f t="shared" si="11"/>
        <v>0</v>
      </c>
      <c r="P22" s="2"/>
      <c r="Q22" s="4"/>
      <c r="R22" s="2"/>
      <c r="S22" s="2"/>
    </row>
    <row r="23" spans="1:19" s="313" customFormat="1">
      <c r="A23" s="345">
        <f t="shared" si="2"/>
        <v>13</v>
      </c>
      <c r="B23" s="287">
        <f>'P1-Trans Plant'!B22</f>
        <v>45413</v>
      </c>
      <c r="C23" s="324">
        <f t="shared" si="3"/>
        <v>0</v>
      </c>
      <c r="D23" s="324">
        <f t="shared" si="4"/>
        <v>0</v>
      </c>
      <c r="E23" s="324">
        <f t="shared" si="5"/>
        <v>0</v>
      </c>
      <c r="F23" s="356"/>
      <c r="G23" s="345"/>
      <c r="H23" s="340">
        <v>0</v>
      </c>
      <c r="I23" s="686">
        <f t="shared" si="6"/>
        <v>0</v>
      </c>
      <c r="J23" s="686">
        <f t="shared" si="8"/>
        <v>0</v>
      </c>
      <c r="K23" s="326">
        <f t="shared" si="9"/>
        <v>0</v>
      </c>
      <c r="L23" s="340">
        <v>0</v>
      </c>
      <c r="M23" s="686">
        <f t="shared" si="7"/>
        <v>0</v>
      </c>
      <c r="N23" s="686">
        <f t="shared" si="10"/>
        <v>0</v>
      </c>
      <c r="O23" s="326">
        <f t="shared" si="11"/>
        <v>0</v>
      </c>
      <c r="P23" s="2"/>
      <c r="Q23" s="4"/>
      <c r="R23" s="2"/>
      <c r="S23" s="2"/>
    </row>
    <row r="24" spans="1:19" s="313" customFormat="1">
      <c r="A24" s="345">
        <f t="shared" si="2"/>
        <v>14</v>
      </c>
      <c r="B24" s="287">
        <f>'P1-Trans Plant'!B23</f>
        <v>45444</v>
      </c>
      <c r="C24" s="324">
        <f t="shared" si="3"/>
        <v>0</v>
      </c>
      <c r="D24" s="324">
        <f t="shared" si="4"/>
        <v>0</v>
      </c>
      <c r="E24" s="324">
        <f t="shared" si="5"/>
        <v>0</v>
      </c>
      <c r="F24" s="356"/>
      <c r="G24" s="345"/>
      <c r="H24" s="340">
        <v>0</v>
      </c>
      <c r="I24" s="686">
        <f t="shared" si="6"/>
        <v>0</v>
      </c>
      <c r="J24" s="686">
        <f t="shared" si="8"/>
        <v>0</v>
      </c>
      <c r="K24" s="326">
        <f t="shared" si="9"/>
        <v>0</v>
      </c>
      <c r="L24" s="340">
        <v>0</v>
      </c>
      <c r="M24" s="686">
        <f t="shared" si="7"/>
        <v>0</v>
      </c>
      <c r="N24" s="686">
        <f t="shared" si="10"/>
        <v>0</v>
      </c>
      <c r="O24" s="326">
        <f t="shared" si="11"/>
        <v>0</v>
      </c>
      <c r="P24" s="2"/>
      <c r="Q24" s="4"/>
      <c r="R24" s="2"/>
      <c r="S24" s="2"/>
    </row>
    <row r="25" spans="1:19" s="313" customFormat="1">
      <c r="A25" s="345">
        <f t="shared" si="2"/>
        <v>15</v>
      </c>
      <c r="B25" s="287">
        <f>'P1-Trans Plant'!B24</f>
        <v>45474</v>
      </c>
      <c r="C25" s="324">
        <f t="shared" si="3"/>
        <v>0</v>
      </c>
      <c r="D25" s="324">
        <f t="shared" si="4"/>
        <v>0</v>
      </c>
      <c r="E25" s="324">
        <f t="shared" si="5"/>
        <v>0</v>
      </c>
      <c r="F25" s="356"/>
      <c r="G25" s="345"/>
      <c r="H25" s="340">
        <v>0</v>
      </c>
      <c r="I25" s="686">
        <f t="shared" si="6"/>
        <v>0</v>
      </c>
      <c r="J25" s="686">
        <f t="shared" si="8"/>
        <v>0</v>
      </c>
      <c r="K25" s="326">
        <f t="shared" si="9"/>
        <v>0</v>
      </c>
      <c r="L25" s="340">
        <v>0</v>
      </c>
      <c r="M25" s="686">
        <f t="shared" si="7"/>
        <v>0</v>
      </c>
      <c r="N25" s="686">
        <f t="shared" si="10"/>
        <v>0</v>
      </c>
      <c r="O25" s="326">
        <f t="shared" si="11"/>
        <v>0</v>
      </c>
      <c r="P25" s="2"/>
      <c r="Q25" s="4"/>
      <c r="R25" s="2"/>
      <c r="S25" s="2"/>
    </row>
    <row r="26" spans="1:19" s="313" customFormat="1">
      <c r="A26" s="345">
        <f t="shared" si="2"/>
        <v>16</v>
      </c>
      <c r="B26" s="287">
        <f>'P1-Trans Plant'!B25</f>
        <v>45505</v>
      </c>
      <c r="C26" s="324">
        <f t="shared" si="3"/>
        <v>0</v>
      </c>
      <c r="D26" s="324">
        <f t="shared" si="4"/>
        <v>0</v>
      </c>
      <c r="E26" s="324">
        <f t="shared" si="5"/>
        <v>0</v>
      </c>
      <c r="F26" s="356"/>
      <c r="G26" s="345"/>
      <c r="H26" s="340">
        <v>0</v>
      </c>
      <c r="I26" s="686">
        <f t="shared" si="6"/>
        <v>0</v>
      </c>
      <c r="J26" s="686">
        <f t="shared" si="8"/>
        <v>0</v>
      </c>
      <c r="K26" s="326">
        <f t="shared" si="9"/>
        <v>0</v>
      </c>
      <c r="L26" s="340">
        <v>0</v>
      </c>
      <c r="M26" s="686">
        <f t="shared" si="7"/>
        <v>0</v>
      </c>
      <c r="N26" s="686">
        <f t="shared" si="10"/>
        <v>0</v>
      </c>
      <c r="O26" s="326">
        <f t="shared" si="11"/>
        <v>0</v>
      </c>
      <c r="P26" s="2"/>
      <c r="Q26" s="4"/>
      <c r="R26" s="2"/>
      <c r="S26" s="2"/>
    </row>
    <row r="27" spans="1:19" s="313" customFormat="1">
      <c r="A27" s="345">
        <f t="shared" si="2"/>
        <v>17</v>
      </c>
      <c r="B27" s="287">
        <f>'P1-Trans Plant'!B26</f>
        <v>45536</v>
      </c>
      <c r="C27" s="324">
        <f t="shared" si="3"/>
        <v>0</v>
      </c>
      <c r="D27" s="324">
        <f t="shared" si="4"/>
        <v>0</v>
      </c>
      <c r="E27" s="324">
        <f t="shared" si="5"/>
        <v>0</v>
      </c>
      <c r="F27" s="356"/>
      <c r="G27" s="345"/>
      <c r="H27" s="340">
        <v>0</v>
      </c>
      <c r="I27" s="686">
        <f t="shared" si="6"/>
        <v>0</v>
      </c>
      <c r="J27" s="686">
        <f t="shared" si="8"/>
        <v>0</v>
      </c>
      <c r="K27" s="326">
        <f t="shared" si="9"/>
        <v>0</v>
      </c>
      <c r="L27" s="340">
        <v>0</v>
      </c>
      <c r="M27" s="686">
        <f t="shared" si="7"/>
        <v>0</v>
      </c>
      <c r="N27" s="686">
        <f t="shared" si="10"/>
        <v>0</v>
      </c>
      <c r="O27" s="326">
        <f t="shared" si="11"/>
        <v>0</v>
      </c>
      <c r="P27" s="2"/>
      <c r="Q27" s="4"/>
      <c r="R27" s="2"/>
      <c r="S27" s="2"/>
    </row>
    <row r="28" spans="1:19" s="313" customFormat="1">
      <c r="A28" s="345">
        <f t="shared" si="2"/>
        <v>18</v>
      </c>
      <c r="B28" s="287">
        <f>'P1-Trans Plant'!B27</f>
        <v>45566</v>
      </c>
      <c r="C28" s="324">
        <f t="shared" si="3"/>
        <v>0</v>
      </c>
      <c r="D28" s="324">
        <f t="shared" si="4"/>
        <v>0</v>
      </c>
      <c r="E28" s="324">
        <f t="shared" si="5"/>
        <v>0</v>
      </c>
      <c r="F28" s="356"/>
      <c r="G28" s="345"/>
      <c r="H28" s="340">
        <v>0</v>
      </c>
      <c r="I28" s="686">
        <f t="shared" si="6"/>
        <v>0</v>
      </c>
      <c r="J28" s="686">
        <f t="shared" si="8"/>
        <v>0</v>
      </c>
      <c r="K28" s="326">
        <f t="shared" si="9"/>
        <v>0</v>
      </c>
      <c r="L28" s="340">
        <v>0</v>
      </c>
      <c r="M28" s="686">
        <f t="shared" si="7"/>
        <v>0</v>
      </c>
      <c r="N28" s="686">
        <f t="shared" si="10"/>
        <v>0</v>
      </c>
      <c r="O28" s="326">
        <f t="shared" si="11"/>
        <v>0</v>
      </c>
      <c r="P28" s="2"/>
      <c r="Q28" s="4"/>
      <c r="R28" s="2"/>
      <c r="S28" s="2"/>
    </row>
    <row r="29" spans="1:19" s="313" customFormat="1">
      <c r="A29" s="345">
        <f t="shared" si="2"/>
        <v>19</v>
      </c>
      <c r="B29" s="287">
        <f>'P1-Trans Plant'!B28</f>
        <v>45597</v>
      </c>
      <c r="C29" s="324">
        <f t="shared" si="3"/>
        <v>0</v>
      </c>
      <c r="D29" s="324">
        <f t="shared" si="4"/>
        <v>0</v>
      </c>
      <c r="E29" s="324">
        <f t="shared" si="5"/>
        <v>0</v>
      </c>
      <c r="F29" s="356"/>
      <c r="G29" s="345"/>
      <c r="H29" s="340">
        <v>0</v>
      </c>
      <c r="I29" s="686">
        <f t="shared" si="6"/>
        <v>0</v>
      </c>
      <c r="J29" s="686">
        <f t="shared" si="8"/>
        <v>0</v>
      </c>
      <c r="K29" s="326">
        <f t="shared" si="9"/>
        <v>0</v>
      </c>
      <c r="L29" s="340">
        <v>0</v>
      </c>
      <c r="M29" s="686">
        <f t="shared" si="7"/>
        <v>0</v>
      </c>
      <c r="N29" s="686">
        <f t="shared" si="10"/>
        <v>0</v>
      </c>
      <c r="O29" s="326">
        <f t="shared" si="11"/>
        <v>0</v>
      </c>
      <c r="P29" s="2"/>
      <c r="Q29" s="4"/>
      <c r="R29" s="2"/>
      <c r="S29" s="2"/>
    </row>
    <row r="30" spans="1:19" s="313" customFormat="1">
      <c r="A30" s="345">
        <f t="shared" si="2"/>
        <v>20</v>
      </c>
      <c r="B30" s="287">
        <f>'P1-Trans Plant'!B29</f>
        <v>45627</v>
      </c>
      <c r="C30" s="324">
        <f t="shared" si="3"/>
        <v>0</v>
      </c>
      <c r="D30" s="324">
        <f t="shared" si="4"/>
        <v>0</v>
      </c>
      <c r="E30" s="324">
        <f t="shared" si="5"/>
        <v>0</v>
      </c>
      <c r="F30" s="356"/>
      <c r="G30" s="345"/>
      <c r="H30" s="340">
        <v>0</v>
      </c>
      <c r="I30" s="686">
        <f t="shared" si="6"/>
        <v>0</v>
      </c>
      <c r="J30" s="686">
        <f t="shared" si="8"/>
        <v>0</v>
      </c>
      <c r="K30" s="326">
        <f t="shared" si="9"/>
        <v>0</v>
      </c>
      <c r="L30" s="340">
        <v>0</v>
      </c>
      <c r="M30" s="686">
        <f t="shared" si="7"/>
        <v>0</v>
      </c>
      <c r="N30" s="686">
        <f t="shared" si="10"/>
        <v>0</v>
      </c>
      <c r="O30" s="326">
        <f t="shared" si="11"/>
        <v>0</v>
      </c>
      <c r="P30" s="2"/>
      <c r="Q30" s="4"/>
      <c r="R30" s="2"/>
      <c r="S30" s="2"/>
    </row>
    <row r="31" spans="1:19" s="313" customFormat="1">
      <c r="A31" s="345">
        <f t="shared" si="2"/>
        <v>21</v>
      </c>
      <c r="B31" s="287">
        <f>'P1-Trans Plant'!B30</f>
        <v>45658</v>
      </c>
      <c r="C31" s="324">
        <f t="shared" si="3"/>
        <v>0</v>
      </c>
      <c r="D31" s="324">
        <f t="shared" si="4"/>
        <v>0</v>
      </c>
      <c r="E31" s="324">
        <f t="shared" si="5"/>
        <v>0</v>
      </c>
      <c r="F31" s="356"/>
      <c r="G31" s="345"/>
      <c r="H31" s="340">
        <v>0</v>
      </c>
      <c r="I31" s="686">
        <f t="shared" si="6"/>
        <v>0</v>
      </c>
      <c r="J31" s="686">
        <f t="shared" si="8"/>
        <v>0</v>
      </c>
      <c r="K31" s="326">
        <f t="shared" si="9"/>
        <v>0</v>
      </c>
      <c r="L31" s="340">
        <v>0</v>
      </c>
      <c r="M31" s="686">
        <f t="shared" si="7"/>
        <v>0</v>
      </c>
      <c r="N31" s="686">
        <f t="shared" si="10"/>
        <v>0</v>
      </c>
      <c r="O31" s="326">
        <f t="shared" si="11"/>
        <v>0</v>
      </c>
      <c r="P31" s="2"/>
      <c r="Q31" s="4"/>
      <c r="R31" s="2"/>
      <c r="S31" s="2"/>
    </row>
    <row r="32" spans="1:19" s="313" customFormat="1">
      <c r="A32" s="345">
        <f t="shared" si="2"/>
        <v>22</v>
      </c>
      <c r="B32" s="287">
        <f>'P1-Trans Plant'!B31</f>
        <v>45689</v>
      </c>
      <c r="C32" s="324">
        <f t="shared" si="3"/>
        <v>0</v>
      </c>
      <c r="D32" s="324">
        <f t="shared" si="4"/>
        <v>0</v>
      </c>
      <c r="E32" s="324">
        <f t="shared" si="5"/>
        <v>0</v>
      </c>
      <c r="F32" s="356"/>
      <c r="G32" s="345"/>
      <c r="H32" s="340">
        <v>0</v>
      </c>
      <c r="I32" s="686">
        <f t="shared" si="6"/>
        <v>0</v>
      </c>
      <c r="J32" s="686">
        <f t="shared" si="8"/>
        <v>0</v>
      </c>
      <c r="K32" s="326">
        <f t="shared" si="9"/>
        <v>0</v>
      </c>
      <c r="L32" s="340">
        <v>0</v>
      </c>
      <c r="M32" s="686">
        <f t="shared" si="7"/>
        <v>0</v>
      </c>
      <c r="N32" s="686">
        <f t="shared" si="10"/>
        <v>0</v>
      </c>
      <c r="O32" s="326">
        <f t="shared" si="11"/>
        <v>0</v>
      </c>
      <c r="P32" s="2"/>
      <c r="Q32" s="4"/>
      <c r="R32" s="2"/>
      <c r="S32" s="2"/>
    </row>
    <row r="33" spans="1:19" s="313" customFormat="1">
      <c r="A33" s="345">
        <f t="shared" si="2"/>
        <v>23</v>
      </c>
      <c r="B33" s="287">
        <f>'P1-Trans Plant'!B32</f>
        <v>45717</v>
      </c>
      <c r="C33" s="324">
        <f t="shared" si="3"/>
        <v>0</v>
      </c>
      <c r="D33" s="324">
        <f t="shared" si="4"/>
        <v>0</v>
      </c>
      <c r="E33" s="324">
        <f t="shared" si="5"/>
        <v>0</v>
      </c>
      <c r="F33" s="356"/>
      <c r="G33" s="345"/>
      <c r="H33" s="340">
        <v>0</v>
      </c>
      <c r="I33" s="686">
        <f t="shared" si="6"/>
        <v>0</v>
      </c>
      <c r="J33" s="686">
        <f t="shared" si="8"/>
        <v>0</v>
      </c>
      <c r="K33" s="326">
        <f t="shared" si="9"/>
        <v>0</v>
      </c>
      <c r="L33" s="340">
        <v>0</v>
      </c>
      <c r="M33" s="686">
        <f t="shared" si="7"/>
        <v>0</v>
      </c>
      <c r="N33" s="686">
        <f t="shared" si="10"/>
        <v>0</v>
      </c>
      <c r="O33" s="326">
        <f t="shared" si="11"/>
        <v>0</v>
      </c>
      <c r="P33" s="2"/>
      <c r="Q33" s="4"/>
      <c r="R33" s="2"/>
      <c r="S33" s="2"/>
    </row>
    <row r="34" spans="1:19" s="313" customFormat="1">
      <c r="A34" s="345">
        <f t="shared" si="2"/>
        <v>24</v>
      </c>
      <c r="B34" s="287">
        <f>'P1-Trans Plant'!B33</f>
        <v>45748</v>
      </c>
      <c r="C34" s="324">
        <f t="shared" si="3"/>
        <v>0</v>
      </c>
      <c r="D34" s="324">
        <f t="shared" si="4"/>
        <v>0</v>
      </c>
      <c r="E34" s="324">
        <f t="shared" si="5"/>
        <v>0</v>
      </c>
      <c r="F34" s="356"/>
      <c r="G34" s="345"/>
      <c r="H34" s="340">
        <v>0</v>
      </c>
      <c r="I34" s="686">
        <f t="shared" si="6"/>
        <v>0</v>
      </c>
      <c r="J34" s="686">
        <f t="shared" si="8"/>
        <v>0</v>
      </c>
      <c r="K34" s="326">
        <f t="shared" si="9"/>
        <v>0</v>
      </c>
      <c r="L34" s="340">
        <v>0</v>
      </c>
      <c r="M34" s="686">
        <f t="shared" si="7"/>
        <v>0</v>
      </c>
      <c r="N34" s="686">
        <f t="shared" si="10"/>
        <v>0</v>
      </c>
      <c r="O34" s="326">
        <f t="shared" si="11"/>
        <v>0</v>
      </c>
      <c r="P34" s="2"/>
      <c r="Q34" s="4"/>
      <c r="R34" s="2"/>
      <c r="S34" s="2"/>
    </row>
    <row r="35" spans="1:19" s="313" customFormat="1">
      <c r="A35" s="345">
        <f t="shared" si="2"/>
        <v>25</v>
      </c>
      <c r="B35" s="287">
        <f>'P1-Trans Plant'!B34</f>
        <v>45778</v>
      </c>
      <c r="C35" s="324">
        <f t="shared" si="3"/>
        <v>0</v>
      </c>
      <c r="D35" s="324">
        <f t="shared" si="4"/>
        <v>0</v>
      </c>
      <c r="E35" s="324">
        <f t="shared" si="5"/>
        <v>0</v>
      </c>
      <c r="F35" s="356"/>
      <c r="G35" s="345"/>
      <c r="H35" s="340">
        <v>0</v>
      </c>
      <c r="I35" s="686">
        <f t="shared" si="6"/>
        <v>0</v>
      </c>
      <c r="J35" s="686">
        <f t="shared" si="8"/>
        <v>0</v>
      </c>
      <c r="K35" s="326">
        <f t="shared" si="9"/>
        <v>0</v>
      </c>
      <c r="L35" s="340">
        <v>0</v>
      </c>
      <c r="M35" s="686">
        <f t="shared" si="7"/>
        <v>0</v>
      </c>
      <c r="N35" s="686">
        <f t="shared" si="10"/>
        <v>0</v>
      </c>
      <c r="O35" s="326">
        <f t="shared" si="11"/>
        <v>0</v>
      </c>
      <c r="P35" s="2"/>
      <c r="Q35" s="4"/>
      <c r="R35" s="2"/>
      <c r="S35" s="2"/>
    </row>
    <row r="36" spans="1:19" s="313" customFormat="1">
      <c r="A36" s="345">
        <f t="shared" si="2"/>
        <v>26</v>
      </c>
      <c r="B36" s="287">
        <f>'P1-Trans Plant'!B35</f>
        <v>45809</v>
      </c>
      <c r="C36" s="324">
        <f t="shared" si="3"/>
        <v>0</v>
      </c>
      <c r="D36" s="324">
        <f t="shared" si="4"/>
        <v>0</v>
      </c>
      <c r="E36" s="324">
        <f t="shared" si="5"/>
        <v>0</v>
      </c>
      <c r="F36" s="356"/>
      <c r="G36" s="345"/>
      <c r="H36" s="340">
        <v>0</v>
      </c>
      <c r="I36" s="686">
        <f t="shared" si="6"/>
        <v>0</v>
      </c>
      <c r="J36" s="686">
        <f t="shared" si="8"/>
        <v>0</v>
      </c>
      <c r="K36" s="326">
        <f t="shared" si="9"/>
        <v>0</v>
      </c>
      <c r="L36" s="340">
        <v>0</v>
      </c>
      <c r="M36" s="686">
        <f t="shared" si="7"/>
        <v>0</v>
      </c>
      <c r="N36" s="686">
        <f t="shared" si="10"/>
        <v>0</v>
      </c>
      <c r="O36" s="326">
        <f t="shared" si="11"/>
        <v>0</v>
      </c>
      <c r="P36" s="2"/>
      <c r="Q36" s="4"/>
      <c r="R36" s="2"/>
      <c r="S36" s="2"/>
    </row>
    <row r="37" spans="1:19" s="313" customFormat="1">
      <c r="A37" s="345">
        <f t="shared" si="2"/>
        <v>27</v>
      </c>
      <c r="B37" s="287">
        <f>'P1-Trans Plant'!B36</f>
        <v>45839</v>
      </c>
      <c r="C37" s="324">
        <f t="shared" si="3"/>
        <v>0</v>
      </c>
      <c r="D37" s="324">
        <f t="shared" si="4"/>
        <v>0</v>
      </c>
      <c r="E37" s="324">
        <f t="shared" si="5"/>
        <v>0</v>
      </c>
      <c r="F37" s="356"/>
      <c r="G37" s="345"/>
      <c r="H37" s="340">
        <v>0</v>
      </c>
      <c r="I37" s="686">
        <f t="shared" si="6"/>
        <v>0</v>
      </c>
      <c r="J37" s="686">
        <f t="shared" si="8"/>
        <v>0</v>
      </c>
      <c r="K37" s="326">
        <f t="shared" si="9"/>
        <v>0</v>
      </c>
      <c r="L37" s="340">
        <v>0</v>
      </c>
      <c r="M37" s="686">
        <f t="shared" si="7"/>
        <v>0</v>
      </c>
      <c r="N37" s="686">
        <f t="shared" si="10"/>
        <v>0</v>
      </c>
      <c r="O37" s="326">
        <f t="shared" si="11"/>
        <v>0</v>
      </c>
      <c r="P37" s="2"/>
      <c r="Q37" s="4"/>
      <c r="R37" s="2"/>
      <c r="S37" s="2"/>
    </row>
    <row r="38" spans="1:19" s="313" customFormat="1">
      <c r="A38" s="345">
        <f t="shared" si="2"/>
        <v>28</v>
      </c>
      <c r="B38" s="287">
        <f>'P1-Trans Plant'!B37</f>
        <v>45870</v>
      </c>
      <c r="C38" s="324">
        <f t="shared" si="3"/>
        <v>0</v>
      </c>
      <c r="D38" s="324">
        <f t="shared" si="4"/>
        <v>0</v>
      </c>
      <c r="E38" s="324">
        <f t="shared" si="5"/>
        <v>0</v>
      </c>
      <c r="F38" s="356"/>
      <c r="G38" s="345"/>
      <c r="H38" s="340">
        <v>0</v>
      </c>
      <c r="I38" s="686">
        <f t="shared" si="6"/>
        <v>0</v>
      </c>
      <c r="J38" s="686">
        <f t="shared" si="8"/>
        <v>0</v>
      </c>
      <c r="K38" s="326">
        <f t="shared" si="9"/>
        <v>0</v>
      </c>
      <c r="L38" s="340">
        <v>0</v>
      </c>
      <c r="M38" s="686">
        <f t="shared" si="7"/>
        <v>0</v>
      </c>
      <c r="N38" s="686">
        <f t="shared" si="10"/>
        <v>0</v>
      </c>
      <c r="O38" s="326">
        <f t="shared" si="11"/>
        <v>0</v>
      </c>
      <c r="P38" s="2"/>
      <c r="Q38" s="4"/>
      <c r="R38" s="2"/>
      <c r="S38" s="2"/>
    </row>
    <row r="39" spans="1:19" s="313" customFormat="1">
      <c r="A39" s="345">
        <f t="shared" si="2"/>
        <v>29</v>
      </c>
      <c r="B39" s="287">
        <f>'P1-Trans Plant'!B38</f>
        <v>45901</v>
      </c>
      <c r="C39" s="324">
        <f t="shared" si="3"/>
        <v>0</v>
      </c>
      <c r="D39" s="324">
        <f t="shared" si="4"/>
        <v>0</v>
      </c>
      <c r="E39" s="324">
        <f t="shared" si="5"/>
        <v>0</v>
      </c>
      <c r="F39" s="356"/>
      <c r="G39" s="345"/>
      <c r="H39" s="340">
        <v>0</v>
      </c>
      <c r="I39" s="686">
        <f t="shared" si="6"/>
        <v>0</v>
      </c>
      <c r="J39" s="686">
        <f t="shared" si="8"/>
        <v>0</v>
      </c>
      <c r="K39" s="326">
        <f t="shared" si="9"/>
        <v>0</v>
      </c>
      <c r="L39" s="340">
        <v>0</v>
      </c>
      <c r="M39" s="686">
        <f t="shared" si="7"/>
        <v>0</v>
      </c>
      <c r="N39" s="686">
        <f t="shared" si="10"/>
        <v>0</v>
      </c>
      <c r="O39" s="326">
        <f t="shared" si="11"/>
        <v>0</v>
      </c>
      <c r="P39" s="2"/>
      <c r="Q39" s="4"/>
      <c r="R39" s="2"/>
      <c r="S39" s="2"/>
    </row>
    <row r="40" spans="1:19" s="313" customFormat="1">
      <c r="A40" s="345">
        <f t="shared" si="2"/>
        <v>30</v>
      </c>
      <c r="B40" s="287">
        <f>'P1-Trans Plant'!B39</f>
        <v>45931</v>
      </c>
      <c r="C40" s="324">
        <f t="shared" si="3"/>
        <v>0</v>
      </c>
      <c r="D40" s="324">
        <f t="shared" si="4"/>
        <v>0</v>
      </c>
      <c r="E40" s="324">
        <f t="shared" si="5"/>
        <v>0</v>
      </c>
      <c r="F40" s="356"/>
      <c r="G40" s="345"/>
      <c r="H40" s="340">
        <v>0</v>
      </c>
      <c r="I40" s="686">
        <f t="shared" si="6"/>
        <v>0</v>
      </c>
      <c r="J40" s="686">
        <f t="shared" si="8"/>
        <v>0</v>
      </c>
      <c r="K40" s="326">
        <f t="shared" si="9"/>
        <v>0</v>
      </c>
      <c r="L40" s="340">
        <v>0</v>
      </c>
      <c r="M40" s="686">
        <f t="shared" si="7"/>
        <v>0</v>
      </c>
      <c r="N40" s="686">
        <f t="shared" si="10"/>
        <v>0</v>
      </c>
      <c r="O40" s="326">
        <f t="shared" si="11"/>
        <v>0</v>
      </c>
      <c r="P40" s="2"/>
      <c r="Q40" s="4"/>
      <c r="R40" s="2"/>
      <c r="S40" s="2"/>
    </row>
    <row r="41" spans="1:19" s="313" customFormat="1">
      <c r="A41" s="345">
        <f t="shared" si="2"/>
        <v>31</v>
      </c>
      <c r="B41" s="287">
        <f>'P1-Trans Plant'!B40</f>
        <v>45962</v>
      </c>
      <c r="C41" s="324">
        <f t="shared" si="3"/>
        <v>0</v>
      </c>
      <c r="D41" s="324">
        <f t="shared" si="4"/>
        <v>0</v>
      </c>
      <c r="E41" s="324">
        <f t="shared" si="5"/>
        <v>0</v>
      </c>
      <c r="F41" s="356"/>
      <c r="G41" s="345"/>
      <c r="H41" s="340">
        <v>0</v>
      </c>
      <c r="I41" s="686">
        <f t="shared" si="6"/>
        <v>0</v>
      </c>
      <c r="J41" s="686">
        <f t="shared" si="8"/>
        <v>0</v>
      </c>
      <c r="K41" s="326">
        <f t="shared" si="9"/>
        <v>0</v>
      </c>
      <c r="L41" s="340">
        <v>0</v>
      </c>
      <c r="M41" s="686">
        <f t="shared" si="7"/>
        <v>0</v>
      </c>
      <c r="N41" s="686">
        <f t="shared" si="10"/>
        <v>0</v>
      </c>
      <c r="O41" s="326">
        <f t="shared" si="11"/>
        <v>0</v>
      </c>
      <c r="P41" s="2"/>
      <c r="Q41" s="4"/>
      <c r="R41" s="2"/>
      <c r="S41" s="2"/>
    </row>
    <row r="42" spans="1:19" s="313" customFormat="1">
      <c r="A42" s="345">
        <f t="shared" si="2"/>
        <v>32</v>
      </c>
      <c r="B42" s="287">
        <f>'P1-Trans Plant'!B41</f>
        <v>45992</v>
      </c>
      <c r="C42" s="324">
        <f t="shared" si="3"/>
        <v>0</v>
      </c>
      <c r="D42" s="324">
        <f t="shared" si="4"/>
        <v>0</v>
      </c>
      <c r="E42" s="324">
        <f t="shared" si="5"/>
        <v>0</v>
      </c>
      <c r="F42" s="356"/>
      <c r="G42" s="345"/>
      <c r="H42" s="340">
        <v>0</v>
      </c>
      <c r="I42" s="686">
        <f t="shared" si="6"/>
        <v>0</v>
      </c>
      <c r="J42" s="686">
        <f t="shared" si="8"/>
        <v>0</v>
      </c>
      <c r="K42" s="326">
        <f t="shared" si="9"/>
        <v>0</v>
      </c>
      <c r="L42" s="340">
        <v>0</v>
      </c>
      <c r="M42" s="686">
        <f t="shared" si="7"/>
        <v>0</v>
      </c>
      <c r="N42" s="686">
        <f t="shared" si="10"/>
        <v>0</v>
      </c>
      <c r="O42" s="326">
        <f t="shared" si="11"/>
        <v>0</v>
      </c>
      <c r="P42" s="2"/>
      <c r="Q42" s="4"/>
      <c r="R42" s="2"/>
      <c r="S42" s="2"/>
    </row>
    <row r="43" spans="1:19" s="313" customFormat="1">
      <c r="A43" s="345"/>
      <c r="B43" s="345"/>
      <c r="G43" s="345"/>
      <c r="H43" s="360"/>
      <c r="I43" s="332"/>
      <c r="J43" s="332"/>
      <c r="K43" s="363"/>
      <c r="L43" s="365"/>
      <c r="M43" s="332"/>
      <c r="N43" s="332"/>
      <c r="O43" s="366"/>
      <c r="P43" s="2"/>
      <c r="Q43" s="4"/>
      <c r="R43" s="2"/>
      <c r="S43" s="2"/>
    </row>
    <row r="44" spans="1:19" s="313" customFormat="1">
      <c r="A44" s="345">
        <v>33</v>
      </c>
      <c r="B44" s="281" t="s">
        <v>488</v>
      </c>
      <c r="C44" s="288"/>
      <c r="D44" s="291">
        <f>SUM(D31:D42)</f>
        <v>0</v>
      </c>
      <c r="E44" s="288"/>
      <c r="G44" s="345"/>
      <c r="H44" s="359"/>
      <c r="I44" s="291">
        <f>SUM(I31:I42)</f>
        <v>0</v>
      </c>
      <c r="J44" s="289"/>
      <c r="K44" s="363"/>
      <c r="L44" s="359"/>
      <c r="M44" s="291">
        <f>SUM(M31:M42)</f>
        <v>0</v>
      </c>
      <c r="N44" s="289"/>
      <c r="O44" s="366"/>
      <c r="P44" s="2"/>
      <c r="Q44" s="4"/>
      <c r="R44" s="2"/>
      <c r="S44" s="2"/>
    </row>
    <row r="45" spans="1:19" s="313" customFormat="1">
      <c r="A45" s="345">
        <v>34</v>
      </c>
      <c r="B45" s="281" t="s">
        <v>489</v>
      </c>
      <c r="C45" s="288">
        <f>SUM(C30:C42)/13</f>
        <v>0</v>
      </c>
      <c r="D45" s="293"/>
      <c r="E45" s="288">
        <f>SUM(E30:E42)/13</f>
        <v>0</v>
      </c>
      <c r="G45" s="345"/>
      <c r="H45" s="359">
        <f>SUM(H30:H42)/13</f>
        <v>0</v>
      </c>
      <c r="I45" s="293"/>
      <c r="J45" s="289">
        <f>SUM(J30:J42)/13</f>
        <v>0</v>
      </c>
      <c r="K45" s="290">
        <f>SUM(K30:K42)/13</f>
        <v>0</v>
      </c>
      <c r="L45" s="359">
        <f>SUM(L30:L42)/13</f>
        <v>0</v>
      </c>
      <c r="M45" s="293"/>
      <c r="N45" s="289">
        <f>SUM(N30:N42)/13</f>
        <v>0</v>
      </c>
      <c r="O45" s="290">
        <f>SUM(O30:O42)/13</f>
        <v>0</v>
      </c>
      <c r="P45" s="2"/>
      <c r="Q45" s="4"/>
      <c r="R45" s="2"/>
      <c r="S45" s="2"/>
    </row>
    <row r="46" spans="1:19" s="313" customFormat="1" ht="14.4" thickBot="1">
      <c r="A46" s="322"/>
      <c r="B46" s="281"/>
      <c r="G46" s="345"/>
      <c r="H46" s="360"/>
      <c r="I46" s="332"/>
      <c r="J46" s="332"/>
      <c r="K46" s="363"/>
      <c r="L46" s="365"/>
      <c r="M46" s="332"/>
      <c r="N46" s="332"/>
      <c r="O46" s="366"/>
      <c r="P46" s="2"/>
      <c r="Q46" s="4"/>
      <c r="R46" s="2"/>
      <c r="S46" s="2"/>
    </row>
    <row r="47" spans="1:19" s="313" customFormat="1" ht="14.4" thickBot="1">
      <c r="A47" s="345">
        <v>35</v>
      </c>
      <c r="B47" s="281" t="s">
        <v>723</v>
      </c>
      <c r="F47" s="367">
        <f>O47+K47</f>
        <v>0</v>
      </c>
      <c r="G47" s="345"/>
      <c r="H47" s="360"/>
      <c r="I47" s="332"/>
      <c r="J47" s="281"/>
      <c r="K47" s="316">
        <f>ROUND(K45*I11,2)</f>
        <v>0</v>
      </c>
      <c r="L47" s="365"/>
      <c r="M47" s="332"/>
      <c r="N47" s="281"/>
      <c r="O47" s="316">
        <f>ROUND(O45*M11,2)</f>
        <v>0</v>
      </c>
      <c r="P47" s="2"/>
      <c r="Q47" s="4"/>
      <c r="R47" s="2"/>
      <c r="S47" s="2"/>
    </row>
    <row r="48" spans="1:19" s="313" customFormat="1">
      <c r="A48" s="345"/>
      <c r="F48" s="313" t="s">
        <v>948</v>
      </c>
      <c r="G48" s="345"/>
      <c r="H48" s="731"/>
      <c r="J48" s="281"/>
      <c r="K48" s="732" t="s">
        <v>948</v>
      </c>
      <c r="L48" s="733"/>
      <c r="N48" s="281"/>
      <c r="O48" s="734" t="s">
        <v>948</v>
      </c>
      <c r="P48" s="2"/>
      <c r="Q48" s="4"/>
      <c r="R48" s="2"/>
      <c r="S48" s="2"/>
    </row>
    <row r="49" spans="1:19" s="313" customFormat="1">
      <c r="A49" s="322"/>
      <c r="B49" s="345"/>
      <c r="G49" s="345"/>
      <c r="H49" s="327"/>
      <c r="I49" s="328"/>
      <c r="J49" s="328"/>
      <c r="K49" s="364"/>
      <c r="L49" s="329"/>
      <c r="M49" s="328"/>
      <c r="N49" s="328"/>
      <c r="O49" s="331"/>
      <c r="P49" s="2"/>
      <c r="Q49" s="4"/>
      <c r="R49" s="2"/>
      <c r="S49" s="2"/>
    </row>
    <row r="50" spans="1:19" s="313" customFormat="1">
      <c r="A50" s="347" t="s">
        <v>174</v>
      </c>
      <c r="B50" s="345"/>
      <c r="G50" s="345"/>
      <c r="H50" s="332"/>
      <c r="I50" s="332"/>
      <c r="J50" s="332"/>
      <c r="K50" s="332"/>
      <c r="L50" s="333"/>
      <c r="M50" s="332"/>
      <c r="N50" s="332"/>
      <c r="O50" s="334"/>
      <c r="P50" s="2"/>
      <c r="Q50" s="4"/>
      <c r="R50" s="2"/>
      <c r="S50" s="2"/>
    </row>
    <row r="51" spans="1:19" s="313" customFormat="1">
      <c r="A51" s="322" t="s">
        <v>79</v>
      </c>
      <c r="B51" s="346" t="s">
        <v>698</v>
      </c>
      <c r="G51" s="345"/>
      <c r="H51" s="332"/>
      <c r="I51" s="332"/>
      <c r="J51" s="332"/>
      <c r="K51" s="332"/>
      <c r="L51" s="333"/>
      <c r="M51" s="332"/>
      <c r="N51" s="332"/>
      <c r="O51" s="334"/>
      <c r="P51" s="2"/>
      <c r="Q51" s="4"/>
      <c r="R51" s="2"/>
      <c r="S51" s="2"/>
    </row>
    <row r="52" spans="1:19" s="16" customFormat="1" ht="15" customHeight="1">
      <c r="A52" s="322" t="s">
        <v>80</v>
      </c>
      <c r="B52" s="346" t="s">
        <v>699</v>
      </c>
      <c r="C52" s="46"/>
      <c r="D52" s="46"/>
      <c r="E52" s="46"/>
      <c r="F52" s="46"/>
      <c r="G52" s="344"/>
      <c r="H52" s="2"/>
      <c r="I52" s="2"/>
      <c r="J52" s="2"/>
      <c r="P52" s="2"/>
      <c r="Q52" s="4"/>
      <c r="R52" s="2"/>
      <c r="S52" s="2"/>
    </row>
    <row r="53" spans="1:19" s="16" customFormat="1" ht="15" customHeight="1">
      <c r="A53" s="322" t="s">
        <v>81</v>
      </c>
      <c r="B53" s="346" t="s">
        <v>950</v>
      </c>
      <c r="C53" s="46"/>
      <c r="D53" s="46"/>
      <c r="E53" s="46"/>
      <c r="F53" s="46"/>
      <c r="G53" s="344"/>
      <c r="H53" s="2"/>
      <c r="I53" s="2"/>
      <c r="J53" s="2"/>
      <c r="P53" s="2"/>
      <c r="Q53" s="4"/>
      <c r="R53" s="2"/>
      <c r="S53" s="2"/>
    </row>
    <row r="54" spans="1:19" ht="15" customHeight="1">
      <c r="A54" s="322" t="s">
        <v>82</v>
      </c>
      <c r="B54" s="346" t="s">
        <v>1127</v>
      </c>
      <c r="C54" s="46"/>
      <c r="D54" s="46"/>
      <c r="E54" s="46"/>
      <c r="F54" s="46"/>
      <c r="G54" s="344"/>
    </row>
    <row r="55" spans="1:19" ht="15" customHeight="1">
      <c r="A55" s="44"/>
      <c r="B55" s="45"/>
      <c r="C55" s="46"/>
      <c r="D55" s="46"/>
      <c r="E55" s="46"/>
      <c r="F55" s="46"/>
      <c r="G55" s="344"/>
    </row>
    <row r="56" spans="1:19" ht="15" customHeight="1">
      <c r="A56" s="44"/>
      <c r="B56" s="45"/>
      <c r="C56" s="46"/>
      <c r="D56" s="46"/>
      <c r="E56" s="46"/>
      <c r="F56" s="46"/>
      <c r="G56" s="344"/>
    </row>
    <row r="57" spans="1:19" ht="15" customHeight="1">
      <c r="A57" s="44"/>
      <c r="B57" s="45"/>
      <c r="C57" s="46"/>
      <c r="D57" s="46"/>
      <c r="E57" s="46"/>
      <c r="F57" s="46"/>
      <c r="G57" s="344"/>
    </row>
    <row r="58" spans="1:19" ht="15" customHeight="1">
      <c r="A58" s="44"/>
      <c r="B58" s="45"/>
      <c r="C58" s="46"/>
      <c r="D58" s="46"/>
      <c r="E58" s="46"/>
      <c r="F58" s="46"/>
      <c r="G58" s="344"/>
    </row>
    <row r="59" spans="1:19" ht="15" customHeight="1">
      <c r="A59" s="44"/>
      <c r="B59" s="45"/>
      <c r="C59" s="46"/>
      <c r="D59" s="46"/>
      <c r="E59" s="46"/>
      <c r="F59" s="46"/>
      <c r="G59" s="344"/>
    </row>
    <row r="60" spans="1:19">
      <c r="A60" s="44"/>
      <c r="B60" s="45"/>
      <c r="C60" s="46"/>
      <c r="D60" s="46"/>
      <c r="E60" s="46"/>
      <c r="F60" s="46"/>
      <c r="G60" s="344"/>
    </row>
    <row r="61" spans="1:19">
      <c r="A61" s="44"/>
      <c r="B61" s="45"/>
      <c r="C61" s="46"/>
      <c r="D61" s="46"/>
      <c r="E61" s="46"/>
      <c r="F61" s="46"/>
      <c r="G61" s="344"/>
    </row>
    <row r="62" spans="1:19">
      <c r="A62" s="44"/>
      <c r="B62" s="45"/>
      <c r="C62" s="46"/>
      <c r="D62" s="46"/>
      <c r="E62" s="46"/>
      <c r="F62" s="46"/>
      <c r="G62" s="344"/>
    </row>
    <row r="63" spans="1:19">
      <c r="A63" s="44"/>
      <c r="B63" s="45"/>
      <c r="C63" s="46"/>
      <c r="D63" s="46"/>
      <c r="E63" s="46"/>
      <c r="F63" s="46"/>
      <c r="G63" s="344"/>
    </row>
    <row r="64" spans="1:19">
      <c r="A64" s="44"/>
      <c r="B64" s="45"/>
      <c r="C64" s="46"/>
      <c r="D64" s="46"/>
      <c r="E64" s="46"/>
      <c r="F64" s="46"/>
      <c r="G64" s="344"/>
    </row>
    <row r="65" spans="1:7">
      <c r="A65" s="44"/>
      <c r="B65" s="45"/>
      <c r="C65" s="46"/>
      <c r="D65" s="46"/>
      <c r="E65" s="46"/>
      <c r="F65" s="46"/>
      <c r="G65" s="344"/>
    </row>
    <row r="66" spans="1:7">
      <c r="A66" s="44"/>
      <c r="B66" s="45"/>
      <c r="C66" s="46"/>
      <c r="D66" s="46"/>
      <c r="E66" s="46"/>
      <c r="F66" s="46"/>
      <c r="G66" s="344"/>
    </row>
    <row r="67" spans="1:7">
      <c r="A67" s="44"/>
      <c r="B67" s="45"/>
      <c r="C67" s="46"/>
      <c r="D67" s="46"/>
      <c r="E67" s="46"/>
      <c r="F67" s="46"/>
      <c r="G67" s="344"/>
    </row>
    <row r="68" spans="1:7">
      <c r="A68" s="44"/>
      <c r="B68" s="45"/>
      <c r="C68" s="46"/>
      <c r="D68" s="46"/>
      <c r="E68" s="46"/>
      <c r="F68" s="46"/>
      <c r="G68" s="344"/>
    </row>
    <row r="69" spans="1:7">
      <c r="A69" s="44"/>
      <c r="B69" s="45"/>
      <c r="C69" s="46"/>
      <c r="D69" s="46"/>
      <c r="E69" s="46"/>
      <c r="F69" s="46"/>
      <c r="G69" s="344"/>
    </row>
    <row r="70" spans="1:7">
      <c r="A70" s="44"/>
      <c r="B70" s="45"/>
      <c r="C70" s="46"/>
      <c r="D70" s="46"/>
      <c r="E70" s="46"/>
      <c r="F70" s="46"/>
      <c r="G70" s="344"/>
    </row>
    <row r="93" spans="11:12">
      <c r="K93" s="3"/>
    </row>
    <row r="94" spans="11:12">
      <c r="K94" s="3"/>
      <c r="L94" s="6"/>
    </row>
    <row r="95" spans="11:12">
      <c r="K95" s="3"/>
    </row>
    <row r="98" spans="1:17" ht="102" customHeight="1"/>
    <row r="99" spans="1:17" s="16" customFormat="1">
      <c r="A99" s="1"/>
      <c r="B99" s="27"/>
      <c r="C99" s="2"/>
      <c r="D99" s="2"/>
      <c r="E99" s="2"/>
      <c r="F99" s="2"/>
      <c r="G99" s="27"/>
      <c r="H99" s="2"/>
      <c r="I99" s="2"/>
      <c r="J99" s="2"/>
      <c r="Q99" s="15"/>
    </row>
    <row r="100" spans="1:17" s="16" customFormat="1" ht="63.75" customHeight="1">
      <c r="A100" s="1"/>
      <c r="B100" s="27"/>
      <c r="C100" s="2"/>
      <c r="D100" s="2"/>
      <c r="E100" s="2"/>
      <c r="F100" s="2"/>
      <c r="G100" s="27"/>
      <c r="H100" s="2"/>
      <c r="I100" s="2"/>
      <c r="J100" s="2"/>
      <c r="Q100" s="15"/>
    </row>
    <row r="116" spans="1:17" s="16" customFormat="1">
      <c r="A116" s="1"/>
      <c r="B116" s="27"/>
      <c r="C116" s="2"/>
      <c r="D116" s="2"/>
      <c r="E116" s="2"/>
      <c r="F116" s="2"/>
      <c r="G116" s="27"/>
      <c r="H116" s="2"/>
      <c r="I116" s="2"/>
      <c r="J116" s="2"/>
      <c r="K116" s="2"/>
      <c r="Q116" s="15"/>
    </row>
    <row r="117" spans="1:17" s="16" customFormat="1">
      <c r="A117" s="1"/>
      <c r="B117" s="27"/>
      <c r="C117" s="2"/>
      <c r="D117" s="2"/>
      <c r="E117" s="2"/>
      <c r="F117" s="2"/>
      <c r="G117" s="27"/>
      <c r="H117" s="2"/>
      <c r="I117" s="2"/>
      <c r="J117" s="2"/>
      <c r="K117" s="2"/>
      <c r="L117" s="2"/>
      <c r="Q117" s="15"/>
    </row>
    <row r="118" spans="1:17" s="16" customFormat="1">
      <c r="A118" s="1"/>
      <c r="B118" s="27"/>
      <c r="C118" s="2"/>
      <c r="D118" s="2"/>
      <c r="E118" s="2"/>
      <c r="F118" s="2"/>
      <c r="G118" s="27"/>
      <c r="H118" s="2"/>
      <c r="I118" s="2"/>
      <c r="J118" s="2"/>
      <c r="K118" s="2"/>
      <c r="L118" s="2"/>
      <c r="Q118" s="15"/>
    </row>
    <row r="119" spans="1:17" s="16" customFormat="1" ht="82.5" customHeight="1">
      <c r="A119" s="1"/>
      <c r="B119" s="27"/>
      <c r="C119" s="2"/>
      <c r="D119" s="2"/>
      <c r="E119" s="2"/>
      <c r="F119" s="2"/>
      <c r="G119" s="27"/>
      <c r="H119" s="2"/>
      <c r="I119" s="2"/>
      <c r="J119" s="2"/>
      <c r="K119" s="29"/>
      <c r="L119" s="29"/>
      <c r="Q119" s="15"/>
    </row>
    <row r="120" spans="1:17" s="16" customFormat="1">
      <c r="A120" s="1"/>
      <c r="B120" s="27"/>
      <c r="C120" s="2"/>
      <c r="D120" s="2"/>
      <c r="E120" s="2"/>
      <c r="F120" s="2"/>
      <c r="G120" s="27"/>
      <c r="H120" s="2"/>
      <c r="I120" s="2"/>
      <c r="J120" s="2"/>
      <c r="K120" s="2"/>
      <c r="L120" s="2"/>
      <c r="Q120" s="15"/>
    </row>
    <row r="121" spans="1:17" s="16" customFormat="1">
      <c r="A121" s="1"/>
      <c r="B121" s="27"/>
      <c r="C121" s="2"/>
      <c r="D121" s="2"/>
      <c r="E121" s="2"/>
      <c r="F121" s="2"/>
      <c r="G121" s="27"/>
      <c r="H121" s="2"/>
      <c r="I121" s="2"/>
      <c r="J121" s="2"/>
      <c r="K121" s="2"/>
      <c r="L121" s="2"/>
      <c r="Q121" s="15"/>
    </row>
    <row r="122" spans="1:17" s="16" customFormat="1">
      <c r="A122" s="1"/>
      <c r="B122" s="27"/>
      <c r="C122" s="2"/>
      <c r="D122" s="2"/>
      <c r="E122" s="2"/>
      <c r="F122" s="2"/>
      <c r="G122" s="27"/>
      <c r="H122" s="2"/>
      <c r="I122" s="2"/>
      <c r="J122" s="2"/>
      <c r="K122" s="2"/>
      <c r="L122" s="2"/>
      <c r="Q122" s="15"/>
    </row>
    <row r="123" spans="1:17" s="16" customFormat="1">
      <c r="A123" s="1"/>
      <c r="B123" s="27"/>
      <c r="C123" s="2"/>
      <c r="D123" s="2"/>
      <c r="E123" s="2"/>
      <c r="F123" s="2"/>
      <c r="G123" s="27"/>
      <c r="H123" s="2"/>
      <c r="I123" s="2"/>
      <c r="J123" s="2"/>
      <c r="K123" s="2"/>
      <c r="L123" s="2"/>
      <c r="Q123" s="15"/>
    </row>
    <row r="124" spans="1:17" s="16" customFormat="1">
      <c r="A124" s="1"/>
      <c r="B124" s="27"/>
      <c r="C124" s="2"/>
      <c r="D124" s="2"/>
      <c r="E124" s="2"/>
      <c r="F124" s="2"/>
      <c r="G124" s="27"/>
      <c r="H124" s="2"/>
      <c r="I124" s="2"/>
      <c r="J124" s="2"/>
      <c r="K124" s="2"/>
      <c r="L124" s="2"/>
      <c r="Q124" s="15"/>
    </row>
    <row r="125" spans="1:17" s="16" customFormat="1">
      <c r="A125" s="1"/>
      <c r="B125" s="27"/>
      <c r="C125" s="2"/>
      <c r="D125" s="2"/>
      <c r="E125" s="2"/>
      <c r="F125" s="2"/>
      <c r="G125" s="27"/>
      <c r="H125" s="2"/>
      <c r="I125" s="2"/>
      <c r="J125" s="2"/>
      <c r="K125" s="2"/>
      <c r="L125" s="2"/>
      <c r="Q125" s="15"/>
    </row>
    <row r="126" spans="1:17" s="16" customFormat="1">
      <c r="A126" s="1"/>
      <c r="B126" s="27"/>
      <c r="C126" s="2"/>
      <c r="D126" s="2"/>
      <c r="E126" s="2"/>
      <c r="F126" s="2"/>
      <c r="G126" s="27"/>
      <c r="H126" s="2"/>
      <c r="I126" s="2"/>
      <c r="J126" s="2"/>
      <c r="K126" s="2"/>
      <c r="Q126" s="15"/>
    </row>
    <row r="127" spans="1:17" s="16" customFormat="1">
      <c r="A127" s="1"/>
      <c r="B127" s="27"/>
      <c r="C127" s="2"/>
      <c r="D127" s="2"/>
      <c r="E127" s="2"/>
      <c r="F127" s="2"/>
      <c r="G127" s="27"/>
      <c r="H127" s="2"/>
      <c r="I127" s="2"/>
      <c r="J127" s="2"/>
      <c r="K127" s="2"/>
      <c r="Q127" s="15"/>
    </row>
    <row r="129" spans="11:15" ht="15" customHeight="1">
      <c r="K129" s="306"/>
    </row>
    <row r="130" spans="11:15" ht="15" customHeight="1">
      <c r="K130" s="306"/>
      <c r="L130" s="6"/>
    </row>
    <row r="131" spans="11:15" ht="30.75" customHeight="1">
      <c r="K131" s="47"/>
    </row>
    <row r="132" spans="11:15">
      <c r="K132" s="47"/>
    </row>
    <row r="133" spans="11:15">
      <c r="K133" s="48"/>
      <c r="L133" s="48"/>
      <c r="M133" s="48"/>
      <c r="N133" s="48"/>
    </row>
    <row r="135" spans="11:15" ht="30.75" customHeight="1">
      <c r="K135" s="307"/>
      <c r="L135" s="307"/>
      <c r="M135" s="307"/>
      <c r="N135" s="307"/>
      <c r="O135" s="307"/>
    </row>
    <row r="136" spans="11:15" ht="15" customHeight="1">
      <c r="K136" s="307"/>
    </row>
    <row r="137" spans="11:15" ht="82.5" customHeight="1">
      <c r="K137" s="307"/>
      <c r="L137" s="307"/>
      <c r="M137" s="307"/>
      <c r="N137" s="307"/>
      <c r="O137" s="307"/>
    </row>
    <row r="138" spans="11:15" ht="15" customHeight="1">
      <c r="K138" s="50"/>
    </row>
    <row r="139" spans="11:15">
      <c r="K139" s="50"/>
    </row>
    <row r="140" spans="11:15" ht="69.75" customHeight="1">
      <c r="K140" s="50"/>
    </row>
  </sheetData>
  <mergeCells count="8">
    <mergeCell ref="C13:F13"/>
    <mergeCell ref="A1:O1"/>
    <mergeCell ref="A2:O2"/>
    <mergeCell ref="A3:O3"/>
    <mergeCell ref="C14:F14"/>
    <mergeCell ref="C7:F7"/>
    <mergeCell ref="C9:F9"/>
    <mergeCell ref="C11:F11"/>
  </mergeCells>
  <pageMargins left="0.5" right="0.25" top="1" bottom="1" header="0.5" footer="0.5"/>
  <pageSetup scale="63" orientation="landscape" r:id="rId1"/>
  <headerFooter alignWithMargins="0"/>
  <ignoredErrors>
    <ignoredError sqref="H45:J45 L45:N4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activeCell="A177" sqref="A177"/>
    </sheetView>
  </sheetViews>
  <sheetFormatPr defaultColWidth="8.81640625" defaultRowHeight="13.2"/>
  <cols>
    <col min="1" max="1" width="5.1796875" style="610" customWidth="1"/>
    <col min="2" max="2" width="9.08984375" style="610" customWidth="1"/>
    <col min="3" max="4" width="7.54296875" style="610" customWidth="1"/>
    <col min="5" max="5" width="8.81640625" style="610" customWidth="1"/>
    <col min="6" max="6" width="7.54296875" style="610" customWidth="1"/>
    <col min="7" max="7" width="2.08984375" style="610" customWidth="1"/>
    <col min="8" max="9" width="11.453125" style="610" customWidth="1"/>
    <col min="10" max="10" width="13.453125" style="610" customWidth="1"/>
    <col min="11" max="11" width="1.453125" style="612" customWidth="1"/>
    <col min="12" max="13" width="10.1796875" style="610" bestFit="1" customWidth="1"/>
    <col min="14" max="14" width="10.81640625" style="610" bestFit="1" customWidth="1"/>
    <col min="15" max="16384" width="8.81640625" style="610"/>
  </cols>
  <sheetData>
    <row r="1" spans="1:11" s="609" customFormat="1">
      <c r="A1" s="798" t="s">
        <v>860</v>
      </c>
      <c r="B1" s="798"/>
      <c r="C1" s="798"/>
      <c r="D1" s="798"/>
      <c r="E1" s="798"/>
      <c r="F1" s="798"/>
      <c r="G1" s="798"/>
      <c r="H1" s="798"/>
      <c r="I1" s="798"/>
      <c r="J1" s="798"/>
      <c r="K1" s="798"/>
    </row>
    <row r="2" spans="1:11" s="609" customFormat="1">
      <c r="A2" s="798" t="s">
        <v>204</v>
      </c>
      <c r="B2" s="798"/>
      <c r="C2" s="798"/>
      <c r="D2" s="798"/>
      <c r="E2" s="798"/>
      <c r="F2" s="798"/>
      <c r="G2" s="798"/>
      <c r="H2" s="798"/>
      <c r="I2" s="798"/>
      <c r="J2" s="798"/>
      <c r="K2" s="798"/>
    </row>
    <row r="3" spans="1:11" s="609" customFormat="1">
      <c r="A3" s="799" t="s">
        <v>130</v>
      </c>
      <c r="B3" s="799"/>
      <c r="C3" s="799"/>
      <c r="D3" s="799"/>
      <c r="E3" s="799"/>
      <c r="F3" s="799"/>
      <c r="G3" s="799"/>
      <c r="H3" s="799"/>
      <c r="I3" s="799"/>
      <c r="J3" s="799"/>
      <c r="K3" s="799"/>
    </row>
    <row r="4" spans="1:11" s="609" customFormat="1">
      <c r="A4" s="608"/>
      <c r="B4" s="608"/>
      <c r="C4" s="608"/>
      <c r="D4" s="608"/>
      <c r="E4" s="608"/>
      <c r="F4" s="608"/>
      <c r="G4" s="608"/>
      <c r="H4" s="608"/>
      <c r="I4" s="608"/>
      <c r="J4" s="559" t="s">
        <v>983</v>
      </c>
    </row>
    <row r="5" spans="1:11">
      <c r="I5" s="611" t="s">
        <v>834</v>
      </c>
      <c r="J5" s="748">
        <v>2025</v>
      </c>
    </row>
    <row r="6" spans="1:11">
      <c r="A6" s="610">
        <v>1</v>
      </c>
      <c r="B6" s="613" t="s">
        <v>835</v>
      </c>
      <c r="H6" s="614"/>
      <c r="I6" s="614"/>
      <c r="J6" s="614"/>
      <c r="K6" s="615"/>
    </row>
    <row r="7" spans="1:11">
      <c r="A7" s="610">
        <f>+A6+1</f>
        <v>2</v>
      </c>
      <c r="B7" s="842" t="s">
        <v>836</v>
      </c>
      <c r="C7" s="843"/>
      <c r="D7" s="843"/>
      <c r="E7" s="843"/>
      <c r="F7" s="844"/>
      <c r="G7" s="616"/>
      <c r="H7" s="842" t="s">
        <v>837</v>
      </c>
      <c r="I7" s="843"/>
      <c r="J7" s="844"/>
      <c r="K7" s="615"/>
    </row>
    <row r="8" spans="1:11">
      <c r="B8" s="617" t="s">
        <v>79</v>
      </c>
      <c r="C8" s="617" t="s">
        <v>80</v>
      </c>
      <c r="D8" s="617" t="s">
        <v>81</v>
      </c>
      <c r="E8" s="617" t="s">
        <v>82</v>
      </c>
      <c r="F8" s="617" t="s">
        <v>83</v>
      </c>
      <c r="G8" s="616"/>
      <c r="H8" s="617" t="s">
        <v>84</v>
      </c>
      <c r="I8" s="617" t="s">
        <v>85</v>
      </c>
      <c r="J8" s="617" t="s">
        <v>449</v>
      </c>
      <c r="K8" s="615"/>
    </row>
    <row r="9" spans="1:11" ht="52.8">
      <c r="A9" s="610">
        <f>+A7+1</f>
        <v>3</v>
      </c>
      <c r="B9" s="618" t="s">
        <v>268</v>
      </c>
      <c r="C9" s="618" t="s">
        <v>838</v>
      </c>
      <c r="D9" s="618" t="s">
        <v>839</v>
      </c>
      <c r="E9" s="618" t="s">
        <v>840</v>
      </c>
      <c r="F9" s="618" t="s">
        <v>841</v>
      </c>
      <c r="G9" s="619"/>
      <c r="H9" s="618" t="s">
        <v>842</v>
      </c>
      <c r="I9" s="618" t="s">
        <v>843</v>
      </c>
      <c r="J9" s="618" t="s">
        <v>844</v>
      </c>
      <c r="K9" s="619"/>
    </row>
    <row r="10" spans="1:11">
      <c r="A10" s="610">
        <f t="shared" ref="A10:A24" si="0">+A9+1</f>
        <v>4</v>
      </c>
      <c r="C10" s="619"/>
      <c r="D10" s="619"/>
      <c r="E10" s="619"/>
      <c r="F10" s="619"/>
      <c r="G10" s="619"/>
      <c r="H10" s="619"/>
      <c r="I10" s="619"/>
      <c r="J10" s="619"/>
      <c r="K10" s="619"/>
    </row>
    <row r="11" spans="1:11">
      <c r="A11" s="610">
        <f t="shared" si="0"/>
        <v>5</v>
      </c>
      <c r="B11" s="620" t="s">
        <v>845</v>
      </c>
      <c r="C11" s="621"/>
      <c r="D11" s="622"/>
      <c r="E11" s="622"/>
      <c r="F11" s="622"/>
      <c r="G11" s="622"/>
      <c r="H11" s="623"/>
      <c r="I11" s="623"/>
      <c r="J11" s="624">
        <v>0</v>
      </c>
      <c r="K11" s="625"/>
    </row>
    <row r="12" spans="1:11">
      <c r="A12" s="610">
        <f t="shared" si="0"/>
        <v>6</v>
      </c>
      <c r="B12" s="621" t="s">
        <v>165</v>
      </c>
      <c r="C12" s="626">
        <v>31</v>
      </c>
      <c r="D12" s="749">
        <v>334</v>
      </c>
      <c r="E12" s="749">
        <v>365</v>
      </c>
      <c r="F12" s="557">
        <f>IF(E12=0,0,D12/E12)</f>
        <v>0.91506849315068495</v>
      </c>
      <c r="G12" s="553"/>
      <c r="H12" s="624">
        <f>-H152*0.21</f>
        <v>-27360.8475</v>
      </c>
      <c r="I12" s="586">
        <f>+H12*F12</f>
        <v>-25037.049493150684</v>
      </c>
      <c r="J12" s="586">
        <f t="shared" ref="J12:J23" si="1">+I12+J11</f>
        <v>-25037.049493150684</v>
      </c>
      <c r="K12" s="625"/>
    </row>
    <row r="13" spans="1:11">
      <c r="A13" s="610">
        <f t="shared" si="0"/>
        <v>7</v>
      </c>
      <c r="B13" s="621" t="s">
        <v>166</v>
      </c>
      <c r="C13" s="627">
        <v>28</v>
      </c>
      <c r="D13" s="749">
        <v>306</v>
      </c>
      <c r="E13" s="749">
        <v>365</v>
      </c>
      <c r="F13" s="557">
        <f t="shared" ref="F13:F23" si="2">IF(E13=0,0,D13/E13)</f>
        <v>0.83835616438356164</v>
      </c>
      <c r="G13" s="553"/>
      <c r="H13" s="624">
        <f t="shared" ref="H13:H23" si="3">-H153*0.21</f>
        <v>-27360.8475</v>
      </c>
      <c r="I13" s="586">
        <f t="shared" ref="I13:I23" si="4">+H13*F13</f>
        <v>-22938.135164383562</v>
      </c>
      <c r="J13" s="586">
        <f t="shared" si="1"/>
        <v>-47975.18465753425</v>
      </c>
      <c r="K13" s="625"/>
    </row>
    <row r="14" spans="1:11">
      <c r="A14" s="610">
        <f t="shared" si="0"/>
        <v>8</v>
      </c>
      <c r="B14" s="621" t="s">
        <v>516</v>
      </c>
      <c r="C14" s="626">
        <v>31</v>
      </c>
      <c r="D14" s="749">
        <v>275</v>
      </c>
      <c r="E14" s="749">
        <v>365</v>
      </c>
      <c r="F14" s="557">
        <f t="shared" si="2"/>
        <v>0.75342465753424659</v>
      </c>
      <c r="G14" s="553"/>
      <c r="H14" s="624">
        <f t="shared" si="3"/>
        <v>-27360.8475</v>
      </c>
      <c r="I14" s="586">
        <f t="shared" si="4"/>
        <v>-20614.337157534246</v>
      </c>
      <c r="J14" s="586">
        <f t="shared" si="1"/>
        <v>-68589.521815068496</v>
      </c>
      <c r="K14" s="625"/>
    </row>
    <row r="15" spans="1:11">
      <c r="A15" s="610">
        <f t="shared" si="0"/>
        <v>9</v>
      </c>
      <c r="B15" s="621" t="s">
        <v>167</v>
      </c>
      <c r="C15" s="626">
        <v>30</v>
      </c>
      <c r="D15" s="749">
        <v>245</v>
      </c>
      <c r="E15" s="749">
        <v>365</v>
      </c>
      <c r="F15" s="557">
        <f t="shared" si="2"/>
        <v>0.67123287671232879</v>
      </c>
      <c r="G15" s="553"/>
      <c r="H15" s="624">
        <f t="shared" si="3"/>
        <v>-27360.8475</v>
      </c>
      <c r="I15" s="586">
        <f t="shared" si="4"/>
        <v>-18365.500376712331</v>
      </c>
      <c r="J15" s="586">
        <f t="shared" si="1"/>
        <v>-86955.022191780823</v>
      </c>
      <c r="K15" s="625"/>
    </row>
    <row r="16" spans="1:11">
      <c r="A16" s="610">
        <f t="shared" si="0"/>
        <v>10</v>
      </c>
      <c r="B16" s="621" t="s">
        <v>168</v>
      </c>
      <c r="C16" s="626">
        <v>31</v>
      </c>
      <c r="D16" s="749">
        <v>214</v>
      </c>
      <c r="E16" s="749">
        <v>365</v>
      </c>
      <c r="F16" s="557">
        <f t="shared" si="2"/>
        <v>0.58630136986301373</v>
      </c>
      <c r="G16" s="553"/>
      <c r="H16" s="624">
        <f t="shared" si="3"/>
        <v>-27360.8475</v>
      </c>
      <c r="I16" s="586">
        <f t="shared" si="4"/>
        <v>-16041.702369863015</v>
      </c>
      <c r="J16" s="586">
        <f t="shared" si="1"/>
        <v>-102996.72456164384</v>
      </c>
      <c r="K16" s="625"/>
    </row>
    <row r="17" spans="1:14">
      <c r="A17" s="610">
        <f t="shared" si="0"/>
        <v>11</v>
      </c>
      <c r="B17" s="621" t="s">
        <v>169</v>
      </c>
      <c r="C17" s="626">
        <v>30</v>
      </c>
      <c r="D17" s="749">
        <v>184</v>
      </c>
      <c r="E17" s="749">
        <v>365</v>
      </c>
      <c r="F17" s="557">
        <f t="shared" si="2"/>
        <v>0.50410958904109593</v>
      </c>
      <c r="G17" s="553"/>
      <c r="H17" s="624">
        <f t="shared" si="3"/>
        <v>-27360.8475</v>
      </c>
      <c r="I17" s="586">
        <f t="shared" si="4"/>
        <v>-13792.865589041097</v>
      </c>
      <c r="J17" s="586">
        <f t="shared" si="1"/>
        <v>-116789.59015068495</v>
      </c>
      <c r="K17" s="625"/>
    </row>
    <row r="18" spans="1:14">
      <c r="A18" s="610">
        <f t="shared" si="0"/>
        <v>12</v>
      </c>
      <c r="B18" s="621" t="s">
        <v>170</v>
      </c>
      <c r="C18" s="626">
        <v>31</v>
      </c>
      <c r="D18" s="749">
        <v>153</v>
      </c>
      <c r="E18" s="749">
        <v>365</v>
      </c>
      <c r="F18" s="557">
        <f t="shared" si="2"/>
        <v>0.41917808219178082</v>
      </c>
      <c r="G18" s="553"/>
      <c r="H18" s="624">
        <f t="shared" si="3"/>
        <v>-27360.8475</v>
      </c>
      <c r="I18" s="586">
        <f t="shared" si="4"/>
        <v>-11469.067582191781</v>
      </c>
      <c r="J18" s="586">
        <f t="shared" si="1"/>
        <v>-128258.65773287673</v>
      </c>
      <c r="K18" s="625"/>
    </row>
    <row r="19" spans="1:14">
      <c r="A19" s="610">
        <f t="shared" si="0"/>
        <v>13</v>
      </c>
      <c r="B19" s="621" t="s">
        <v>517</v>
      </c>
      <c r="C19" s="626">
        <v>31</v>
      </c>
      <c r="D19" s="749">
        <v>122</v>
      </c>
      <c r="E19" s="749">
        <v>365</v>
      </c>
      <c r="F19" s="557">
        <f t="shared" si="2"/>
        <v>0.33424657534246577</v>
      </c>
      <c r="G19" s="553"/>
      <c r="H19" s="624">
        <f t="shared" si="3"/>
        <v>-27360.8475</v>
      </c>
      <c r="I19" s="586">
        <f t="shared" si="4"/>
        <v>-9145.2695753424669</v>
      </c>
      <c r="J19" s="586">
        <f t="shared" si="1"/>
        <v>-137403.92730821919</v>
      </c>
      <c r="K19" s="625"/>
    </row>
    <row r="20" spans="1:14">
      <c r="A20" s="610">
        <f t="shared" si="0"/>
        <v>14</v>
      </c>
      <c r="B20" s="621" t="s">
        <v>171</v>
      </c>
      <c r="C20" s="626">
        <v>30</v>
      </c>
      <c r="D20" s="749">
        <v>92</v>
      </c>
      <c r="E20" s="749">
        <v>365</v>
      </c>
      <c r="F20" s="557">
        <f t="shared" si="2"/>
        <v>0.25205479452054796</v>
      </c>
      <c r="G20" s="553"/>
      <c r="H20" s="624">
        <f t="shared" si="3"/>
        <v>-27360.8475</v>
      </c>
      <c r="I20" s="586">
        <f t="shared" si="4"/>
        <v>-6896.4327945205487</v>
      </c>
      <c r="J20" s="586">
        <f t="shared" si="1"/>
        <v>-144300.36010273974</v>
      </c>
      <c r="K20" s="625"/>
    </row>
    <row r="21" spans="1:14">
      <c r="A21" s="610">
        <f t="shared" si="0"/>
        <v>15</v>
      </c>
      <c r="B21" s="621" t="s">
        <v>172</v>
      </c>
      <c r="C21" s="626">
        <v>31</v>
      </c>
      <c r="D21" s="749">
        <v>61</v>
      </c>
      <c r="E21" s="749">
        <v>365</v>
      </c>
      <c r="F21" s="557">
        <f t="shared" si="2"/>
        <v>0.16712328767123288</v>
      </c>
      <c r="G21" s="553"/>
      <c r="H21" s="624">
        <f t="shared" si="3"/>
        <v>-27360.8475</v>
      </c>
      <c r="I21" s="586">
        <f t="shared" si="4"/>
        <v>-4572.6347876712334</v>
      </c>
      <c r="J21" s="586">
        <f t="shared" si="1"/>
        <v>-148872.99489041098</v>
      </c>
      <c r="K21" s="625"/>
    </row>
    <row r="22" spans="1:14">
      <c r="A22" s="610">
        <f t="shared" si="0"/>
        <v>16</v>
      </c>
      <c r="B22" s="621" t="s">
        <v>173</v>
      </c>
      <c r="C22" s="626">
        <v>30</v>
      </c>
      <c r="D22" s="749">
        <v>31</v>
      </c>
      <c r="E22" s="749">
        <v>365</v>
      </c>
      <c r="F22" s="557">
        <f t="shared" si="2"/>
        <v>8.4931506849315067E-2</v>
      </c>
      <c r="G22" s="553"/>
      <c r="H22" s="624">
        <f t="shared" si="3"/>
        <v>-27360.8475</v>
      </c>
      <c r="I22" s="586">
        <f t="shared" si="4"/>
        <v>-2323.7980068493148</v>
      </c>
      <c r="J22" s="586">
        <f t="shared" si="1"/>
        <v>-151196.79289726028</v>
      </c>
      <c r="K22" s="625"/>
    </row>
    <row r="23" spans="1:14">
      <c r="A23" s="610">
        <f t="shared" si="0"/>
        <v>17</v>
      </c>
      <c r="B23" s="621" t="s">
        <v>518</v>
      </c>
      <c r="C23" s="626">
        <v>31</v>
      </c>
      <c r="D23" s="749">
        <v>1</v>
      </c>
      <c r="E23" s="749">
        <v>365</v>
      </c>
      <c r="F23" s="557">
        <f t="shared" si="2"/>
        <v>2.7397260273972603E-3</v>
      </c>
      <c r="G23" s="553"/>
      <c r="H23" s="624">
        <f t="shared" si="3"/>
        <v>-27360.8475</v>
      </c>
      <c r="I23" s="586">
        <f t="shared" si="4"/>
        <v>-74.961226027397259</v>
      </c>
      <c r="J23" s="586">
        <f t="shared" si="1"/>
        <v>-151271.75412328768</v>
      </c>
      <c r="K23" s="625"/>
      <c r="L23" s="644"/>
      <c r="M23" s="646"/>
      <c r="N23" s="644"/>
    </row>
    <row r="24" spans="1:14">
      <c r="A24" s="610">
        <f t="shared" si="0"/>
        <v>18</v>
      </c>
      <c r="B24" s="628"/>
      <c r="C24" s="628" t="s">
        <v>9</v>
      </c>
      <c r="D24" s="628"/>
      <c r="E24" s="628"/>
      <c r="F24" s="629"/>
      <c r="G24" s="622"/>
      <c r="H24" s="630">
        <f>SUM(H12:H23)</f>
        <v>-328330.16999999993</v>
      </c>
      <c r="I24" s="630">
        <f>SUM(I12:I23)</f>
        <v>-151271.75412328768</v>
      </c>
      <c r="J24" s="629"/>
      <c r="K24" s="619"/>
    </row>
    <row r="25" spans="1:14">
      <c r="B25" s="631"/>
      <c r="C25" s="631"/>
      <c r="D25" s="631"/>
      <c r="E25" s="631"/>
      <c r="F25" s="632"/>
      <c r="G25" s="632"/>
      <c r="I25" s="633"/>
      <c r="J25" s="632"/>
      <c r="K25" s="619"/>
      <c r="L25" s="644"/>
    </row>
    <row r="26" spans="1:14">
      <c r="A26" s="610">
        <f>+A24+1</f>
        <v>19</v>
      </c>
      <c r="B26" s="610" t="s">
        <v>1012</v>
      </c>
      <c r="F26" s="610" t="s">
        <v>847</v>
      </c>
      <c r="G26" s="632"/>
      <c r="I26" s="632"/>
      <c r="J26" s="645">
        <f>'A3-ADIT'!E15</f>
        <v>28318638</v>
      </c>
    </row>
    <row r="27" spans="1:14">
      <c r="A27" s="610">
        <f>+A26+1</f>
        <v>20</v>
      </c>
      <c r="B27" s="610" t="s">
        <v>1186</v>
      </c>
      <c r="F27" s="610" t="s">
        <v>1013</v>
      </c>
      <c r="G27" s="632"/>
      <c r="I27" s="632"/>
      <c r="J27" s="645">
        <f>J166*-0.21</f>
        <v>7330363.5299999993</v>
      </c>
    </row>
    <row r="28" spans="1:14">
      <c r="A28" s="610">
        <f t="shared" ref="A28" si="5">+A27+1</f>
        <v>21</v>
      </c>
      <c r="B28" s="610" t="s">
        <v>1187</v>
      </c>
      <c r="F28" s="610" t="s">
        <v>1014</v>
      </c>
      <c r="G28" s="632"/>
      <c r="I28" s="632"/>
      <c r="J28" s="645">
        <f>J26-J27</f>
        <v>20988274.469999999</v>
      </c>
    </row>
    <row r="29" spans="1:14">
      <c r="A29" s="610">
        <f>+A28+1</f>
        <v>22</v>
      </c>
      <c r="B29" s="610" t="s">
        <v>1188</v>
      </c>
      <c r="F29" s="610" t="s">
        <v>1015</v>
      </c>
      <c r="G29" s="632"/>
      <c r="I29" s="632"/>
      <c r="J29" s="645">
        <f>J27</f>
        <v>7330363.5299999993</v>
      </c>
    </row>
    <row r="30" spans="1:14">
      <c r="A30" s="610">
        <f>+A29+1</f>
        <v>23</v>
      </c>
      <c r="B30" s="610" t="s">
        <v>900</v>
      </c>
      <c r="F30" s="610" t="s">
        <v>918</v>
      </c>
      <c r="G30" s="632"/>
      <c r="I30" s="632"/>
      <c r="J30" s="624">
        <v>-415607.81012658222</v>
      </c>
    </row>
    <row r="31" spans="1:14">
      <c r="A31" s="610">
        <f>+A30+1</f>
        <v>24</v>
      </c>
      <c r="B31" s="610" t="s">
        <v>1185</v>
      </c>
      <c r="F31" s="610" t="s">
        <v>1010</v>
      </c>
      <c r="G31" s="632"/>
      <c r="I31" s="632"/>
      <c r="J31" s="634">
        <f>J29+J30</f>
        <v>6914755.7198734172</v>
      </c>
    </row>
    <row r="32" spans="1:14">
      <c r="A32" s="610">
        <v>25</v>
      </c>
      <c r="B32" s="610" t="s">
        <v>851</v>
      </c>
      <c r="F32" s="610" t="s">
        <v>1011</v>
      </c>
      <c r="G32" s="632"/>
      <c r="I32" s="619"/>
      <c r="J32" s="635">
        <f>J23</f>
        <v>-151271.75412328768</v>
      </c>
    </row>
    <row r="33" spans="1:11">
      <c r="A33" s="610">
        <v>26</v>
      </c>
      <c r="B33" s="610" t="s">
        <v>1000</v>
      </c>
      <c r="F33" s="610" t="s">
        <v>996</v>
      </c>
      <c r="J33" s="646">
        <f>J31+J32</f>
        <v>6763483.9657501299</v>
      </c>
    </row>
    <row r="34" spans="1:11">
      <c r="A34" s="610">
        <v>27</v>
      </c>
      <c r="B34" s="610" t="s">
        <v>1007</v>
      </c>
      <c r="J34" s="654">
        <v>7.9579999999999998E-2</v>
      </c>
    </row>
    <row r="35" spans="1:11">
      <c r="A35" s="610">
        <v>28</v>
      </c>
      <c r="B35" s="613" t="s">
        <v>864</v>
      </c>
      <c r="J35" s="655">
        <f>J33*J34</f>
        <v>538238.0539943953</v>
      </c>
    </row>
    <row r="36" spans="1:11">
      <c r="J36" s="646"/>
    </row>
    <row r="37" spans="1:11">
      <c r="J37" s="646"/>
    </row>
    <row r="38" spans="1:11" ht="15">
      <c r="A38"/>
      <c r="B38"/>
      <c r="C38"/>
      <c r="D38"/>
      <c r="E38"/>
      <c r="F38"/>
      <c r="G38"/>
      <c r="H38"/>
      <c r="I38"/>
      <c r="J38"/>
    </row>
    <row r="39" spans="1:11">
      <c r="A39" s="841" t="str">
        <f>A1</f>
        <v>Worksheet P5</v>
      </c>
      <c r="B39" s="841"/>
      <c r="C39" s="841"/>
      <c r="D39" s="841"/>
      <c r="E39" s="841"/>
      <c r="F39" s="841"/>
      <c r="G39" s="841"/>
      <c r="H39" s="841"/>
      <c r="I39" s="841"/>
      <c r="J39" s="841"/>
      <c r="K39" s="841"/>
    </row>
    <row r="40" spans="1:11">
      <c r="A40" s="841" t="str">
        <f>A2</f>
        <v>Accumulated Deferred Income Taxes</v>
      </c>
      <c r="B40" s="841"/>
      <c r="C40" s="841"/>
      <c r="D40" s="841"/>
      <c r="E40" s="841"/>
      <c r="F40" s="841"/>
      <c r="G40" s="841"/>
      <c r="H40" s="841"/>
      <c r="I40" s="841"/>
      <c r="J40" s="841"/>
      <c r="K40" s="841"/>
    </row>
    <row r="41" spans="1:11">
      <c r="A41" s="845" t="str">
        <f>A3</f>
        <v>Cheyenne Light, Fuel &amp; Power</v>
      </c>
      <c r="B41" s="845"/>
      <c r="C41" s="845"/>
      <c r="D41" s="845"/>
      <c r="E41" s="845"/>
      <c r="F41" s="845"/>
      <c r="G41" s="845"/>
      <c r="H41" s="845"/>
      <c r="I41" s="845"/>
      <c r="J41" s="845"/>
      <c r="K41" s="845"/>
    </row>
    <row r="42" spans="1:11">
      <c r="J42" s="612" t="s">
        <v>984</v>
      </c>
    </row>
    <row r="43" spans="1:11">
      <c r="B43" s="613"/>
      <c r="J43" s="611"/>
      <c r="K43" s="637"/>
    </row>
    <row r="44" spans="1:11">
      <c r="A44" s="610">
        <f>A35+1</f>
        <v>29</v>
      </c>
      <c r="B44" s="613" t="s">
        <v>855</v>
      </c>
      <c r="H44" s="614"/>
      <c r="I44" s="614"/>
      <c r="J44" s="614"/>
    </row>
    <row r="45" spans="1:11">
      <c r="A45" s="610">
        <f>+A44+1</f>
        <v>30</v>
      </c>
      <c r="B45" s="842" t="s">
        <v>836</v>
      </c>
      <c r="C45" s="843"/>
      <c r="D45" s="843"/>
      <c r="E45" s="843"/>
      <c r="F45" s="844"/>
      <c r="G45" s="616"/>
      <c r="H45" s="842" t="s">
        <v>837</v>
      </c>
      <c r="I45" s="843"/>
      <c r="J45" s="844"/>
    </row>
    <row r="46" spans="1:11">
      <c r="B46" s="617" t="s">
        <v>79</v>
      </c>
      <c r="C46" s="617" t="s">
        <v>80</v>
      </c>
      <c r="D46" s="617" t="s">
        <v>81</v>
      </c>
      <c r="E46" s="617" t="s">
        <v>82</v>
      </c>
      <c r="F46" s="617" t="s">
        <v>83</v>
      </c>
      <c r="G46" s="616"/>
      <c r="H46" s="617" t="s">
        <v>84</v>
      </c>
      <c r="I46" s="617" t="s">
        <v>85</v>
      </c>
      <c r="J46" s="617" t="s">
        <v>449</v>
      </c>
    </row>
    <row r="47" spans="1:11" ht="52.8">
      <c r="A47" s="610">
        <f>+A45+1</f>
        <v>31</v>
      </c>
      <c r="B47" s="618" t="s">
        <v>268</v>
      </c>
      <c r="C47" s="618" t="s">
        <v>838</v>
      </c>
      <c r="D47" s="618" t="s">
        <v>839</v>
      </c>
      <c r="E47" s="618" t="s">
        <v>840</v>
      </c>
      <c r="F47" s="618" t="s">
        <v>841</v>
      </c>
      <c r="G47" s="619"/>
      <c r="H47" s="618" t="s">
        <v>842</v>
      </c>
      <c r="I47" s="618" t="s">
        <v>843</v>
      </c>
      <c r="J47" s="618" t="s">
        <v>844</v>
      </c>
    </row>
    <row r="48" spans="1:11">
      <c r="A48" s="610">
        <f t="shared" ref="A48:A62" si="6">+A47+1</f>
        <v>32</v>
      </c>
      <c r="C48" s="619"/>
      <c r="D48" s="619"/>
      <c r="E48" s="619"/>
      <c r="F48" s="619"/>
      <c r="G48" s="619"/>
      <c r="H48" s="619"/>
      <c r="I48" s="619"/>
      <c r="J48" s="619"/>
    </row>
    <row r="49" spans="1:11">
      <c r="A49" s="610">
        <f t="shared" si="6"/>
        <v>33</v>
      </c>
      <c r="B49" s="620" t="s">
        <v>845</v>
      </c>
      <c r="C49" s="621"/>
      <c r="D49" s="622"/>
      <c r="E49" s="622"/>
      <c r="F49" s="622"/>
      <c r="G49" s="622"/>
      <c r="H49" s="623"/>
      <c r="I49" s="623"/>
      <c r="J49" s="624">
        <v>0</v>
      </c>
      <c r="K49" s="638"/>
    </row>
    <row r="50" spans="1:11">
      <c r="A50" s="610">
        <f t="shared" si="6"/>
        <v>34</v>
      </c>
      <c r="B50" s="621" t="s">
        <v>165</v>
      </c>
      <c r="C50" s="626">
        <v>31</v>
      </c>
      <c r="D50" s="749">
        <v>0</v>
      </c>
      <c r="E50" s="749">
        <v>0</v>
      </c>
      <c r="F50" s="557">
        <f>IF(E50=0,0,D50/E50)</f>
        <v>0</v>
      </c>
      <c r="G50" s="553"/>
      <c r="H50" s="624"/>
      <c r="I50" s="554">
        <f>+H50*F50</f>
        <v>0</v>
      </c>
      <c r="J50" s="554">
        <f t="shared" ref="J50:J61" si="7">+I50+J49</f>
        <v>0</v>
      </c>
    </row>
    <row r="51" spans="1:11">
      <c r="A51" s="610">
        <f t="shared" si="6"/>
        <v>35</v>
      </c>
      <c r="B51" s="621" t="s">
        <v>166</v>
      </c>
      <c r="C51" s="627">
        <v>28</v>
      </c>
      <c r="D51" s="749">
        <v>0</v>
      </c>
      <c r="E51" s="749">
        <v>0</v>
      </c>
      <c r="F51" s="557">
        <f t="shared" ref="F51:F61" si="8">IF(E51=0,0,D51/E51)</f>
        <v>0</v>
      </c>
      <c r="G51" s="553"/>
      <c r="H51" s="624"/>
      <c r="I51" s="554">
        <f t="shared" ref="I51:I61" si="9">+H51*F51</f>
        <v>0</v>
      </c>
      <c r="J51" s="554">
        <f t="shared" si="7"/>
        <v>0</v>
      </c>
    </row>
    <row r="52" spans="1:11">
      <c r="A52" s="610">
        <f t="shared" si="6"/>
        <v>36</v>
      </c>
      <c r="B52" s="621" t="s">
        <v>516</v>
      </c>
      <c r="C52" s="626">
        <v>31</v>
      </c>
      <c r="D52" s="749">
        <v>0</v>
      </c>
      <c r="E52" s="749">
        <v>0</v>
      </c>
      <c r="F52" s="557">
        <f t="shared" si="8"/>
        <v>0</v>
      </c>
      <c r="G52" s="553"/>
      <c r="H52" s="624"/>
      <c r="I52" s="554">
        <f t="shared" si="9"/>
        <v>0</v>
      </c>
      <c r="J52" s="554">
        <f t="shared" si="7"/>
        <v>0</v>
      </c>
    </row>
    <row r="53" spans="1:11">
      <c r="A53" s="610">
        <f t="shared" si="6"/>
        <v>37</v>
      </c>
      <c r="B53" s="621" t="s">
        <v>167</v>
      </c>
      <c r="C53" s="626">
        <v>30</v>
      </c>
      <c r="D53" s="749">
        <v>0</v>
      </c>
      <c r="E53" s="749">
        <v>0</v>
      </c>
      <c r="F53" s="557">
        <f t="shared" si="8"/>
        <v>0</v>
      </c>
      <c r="G53" s="553"/>
      <c r="H53" s="624"/>
      <c r="I53" s="554">
        <f t="shared" si="9"/>
        <v>0</v>
      </c>
      <c r="J53" s="554">
        <f t="shared" si="7"/>
        <v>0</v>
      </c>
    </row>
    <row r="54" spans="1:11">
      <c r="A54" s="610">
        <f t="shared" si="6"/>
        <v>38</v>
      </c>
      <c r="B54" s="621" t="s">
        <v>168</v>
      </c>
      <c r="C54" s="626">
        <v>31</v>
      </c>
      <c r="D54" s="749">
        <v>0</v>
      </c>
      <c r="E54" s="749">
        <v>0</v>
      </c>
      <c r="F54" s="557">
        <f t="shared" si="8"/>
        <v>0</v>
      </c>
      <c r="G54" s="553"/>
      <c r="H54" s="624"/>
      <c r="I54" s="554">
        <f t="shared" si="9"/>
        <v>0</v>
      </c>
      <c r="J54" s="554">
        <f t="shared" si="7"/>
        <v>0</v>
      </c>
    </row>
    <row r="55" spans="1:11">
      <c r="A55" s="610">
        <f t="shared" si="6"/>
        <v>39</v>
      </c>
      <c r="B55" s="621" t="s">
        <v>169</v>
      </c>
      <c r="C55" s="626">
        <v>30</v>
      </c>
      <c r="D55" s="749">
        <v>0</v>
      </c>
      <c r="E55" s="749">
        <v>0</v>
      </c>
      <c r="F55" s="557">
        <f t="shared" si="8"/>
        <v>0</v>
      </c>
      <c r="G55" s="553"/>
      <c r="H55" s="624"/>
      <c r="I55" s="554">
        <f t="shared" si="9"/>
        <v>0</v>
      </c>
      <c r="J55" s="554">
        <f t="shared" si="7"/>
        <v>0</v>
      </c>
    </row>
    <row r="56" spans="1:11">
      <c r="A56" s="610">
        <f t="shared" si="6"/>
        <v>40</v>
      </c>
      <c r="B56" s="621" t="s">
        <v>170</v>
      </c>
      <c r="C56" s="626">
        <v>31</v>
      </c>
      <c r="D56" s="749">
        <v>0</v>
      </c>
      <c r="E56" s="749">
        <v>0</v>
      </c>
      <c r="F56" s="557">
        <f t="shared" si="8"/>
        <v>0</v>
      </c>
      <c r="G56" s="553"/>
      <c r="H56" s="624"/>
      <c r="I56" s="554">
        <f t="shared" si="9"/>
        <v>0</v>
      </c>
      <c r="J56" s="554">
        <f t="shared" si="7"/>
        <v>0</v>
      </c>
    </row>
    <row r="57" spans="1:11">
      <c r="A57" s="610">
        <f t="shared" si="6"/>
        <v>41</v>
      </c>
      <c r="B57" s="621" t="s">
        <v>517</v>
      </c>
      <c r="C57" s="626">
        <v>31</v>
      </c>
      <c r="D57" s="749">
        <v>0</v>
      </c>
      <c r="E57" s="749">
        <v>0</v>
      </c>
      <c r="F57" s="557">
        <f t="shared" si="8"/>
        <v>0</v>
      </c>
      <c r="G57" s="553"/>
      <c r="H57" s="624"/>
      <c r="I57" s="554">
        <f t="shared" si="9"/>
        <v>0</v>
      </c>
      <c r="J57" s="554">
        <f t="shared" si="7"/>
        <v>0</v>
      </c>
    </row>
    <row r="58" spans="1:11">
      <c r="A58" s="610">
        <f t="shared" si="6"/>
        <v>42</v>
      </c>
      <c r="B58" s="621" t="s">
        <v>171</v>
      </c>
      <c r="C58" s="626">
        <v>30</v>
      </c>
      <c r="D58" s="749">
        <v>0</v>
      </c>
      <c r="E58" s="749">
        <v>0</v>
      </c>
      <c r="F58" s="557">
        <f t="shared" si="8"/>
        <v>0</v>
      </c>
      <c r="G58" s="553"/>
      <c r="H58" s="624"/>
      <c r="I58" s="554">
        <f t="shared" si="9"/>
        <v>0</v>
      </c>
      <c r="J58" s="554">
        <f t="shared" si="7"/>
        <v>0</v>
      </c>
    </row>
    <row r="59" spans="1:11">
      <c r="A59" s="610">
        <f t="shared" si="6"/>
        <v>43</v>
      </c>
      <c r="B59" s="621" t="s">
        <v>172</v>
      </c>
      <c r="C59" s="626">
        <v>31</v>
      </c>
      <c r="D59" s="749">
        <v>0</v>
      </c>
      <c r="E59" s="749">
        <v>0</v>
      </c>
      <c r="F59" s="557">
        <f t="shared" si="8"/>
        <v>0</v>
      </c>
      <c r="G59" s="553"/>
      <c r="H59" s="624"/>
      <c r="I59" s="554">
        <f t="shared" si="9"/>
        <v>0</v>
      </c>
      <c r="J59" s="554">
        <f t="shared" si="7"/>
        <v>0</v>
      </c>
    </row>
    <row r="60" spans="1:11">
      <c r="A60" s="610">
        <f t="shared" si="6"/>
        <v>44</v>
      </c>
      <c r="B60" s="621" t="s">
        <v>173</v>
      </c>
      <c r="C60" s="626">
        <v>30</v>
      </c>
      <c r="D60" s="749">
        <v>0</v>
      </c>
      <c r="E60" s="749">
        <v>0</v>
      </c>
      <c r="F60" s="557">
        <f t="shared" si="8"/>
        <v>0</v>
      </c>
      <c r="G60" s="553"/>
      <c r="H60" s="624"/>
      <c r="I60" s="554">
        <f t="shared" si="9"/>
        <v>0</v>
      </c>
      <c r="J60" s="554">
        <f t="shared" si="7"/>
        <v>0</v>
      </c>
    </row>
    <row r="61" spans="1:11">
      <c r="A61" s="610">
        <f t="shared" si="6"/>
        <v>45</v>
      </c>
      <c r="B61" s="621" t="s">
        <v>518</v>
      </c>
      <c r="C61" s="626">
        <v>31</v>
      </c>
      <c r="D61" s="749">
        <v>0</v>
      </c>
      <c r="E61" s="749">
        <v>0</v>
      </c>
      <c r="F61" s="557">
        <f t="shared" si="8"/>
        <v>0</v>
      </c>
      <c r="G61" s="553"/>
      <c r="H61" s="624"/>
      <c r="I61" s="554">
        <f t="shared" si="9"/>
        <v>0</v>
      </c>
      <c r="J61" s="554">
        <f t="shared" si="7"/>
        <v>0</v>
      </c>
    </row>
    <row r="62" spans="1:11">
      <c r="A62" s="610">
        <f t="shared" si="6"/>
        <v>46</v>
      </c>
      <c r="B62" s="628"/>
      <c r="C62" s="628" t="s">
        <v>9</v>
      </c>
      <c r="D62" s="628"/>
      <c r="E62" s="628"/>
      <c r="F62" s="629"/>
      <c r="G62" s="622"/>
      <c r="H62" s="630">
        <f>SUM(H50:H61)</f>
        <v>0</v>
      </c>
      <c r="I62" s="630">
        <f>SUM(I50:I61)</f>
        <v>0</v>
      </c>
      <c r="J62" s="629"/>
    </row>
    <row r="63" spans="1:11">
      <c r="B63" s="631"/>
      <c r="C63" s="631"/>
      <c r="D63" s="631"/>
      <c r="E63" s="631"/>
      <c r="F63" s="632"/>
      <c r="G63" s="632"/>
      <c r="I63" s="633"/>
      <c r="J63" s="632"/>
    </row>
    <row r="64" spans="1:11">
      <c r="A64" s="610">
        <f>+A62+1</f>
        <v>47</v>
      </c>
      <c r="B64" s="688" t="s">
        <v>1102</v>
      </c>
      <c r="F64" s="610" t="s">
        <v>856</v>
      </c>
      <c r="G64" s="632"/>
      <c r="I64" s="632"/>
      <c r="J64" s="627">
        <v>0</v>
      </c>
    </row>
    <row r="65" spans="1:11">
      <c r="A65" s="610">
        <f>+A64+1</f>
        <v>48</v>
      </c>
      <c r="B65" s="610" t="s">
        <v>848</v>
      </c>
      <c r="F65" s="610" t="str">
        <f>"(Line "&amp;A64&amp;" less line "&amp;A66&amp;")"</f>
        <v>(Line 47 less line 49)</v>
      </c>
      <c r="G65" s="632"/>
      <c r="I65" s="632"/>
      <c r="J65" s="634">
        <f>+J64-J66</f>
        <v>0</v>
      </c>
    </row>
    <row r="66" spans="1:11">
      <c r="A66" s="610">
        <f t="shared" ref="A66:A72" si="10">+A65+1</f>
        <v>49</v>
      </c>
      <c r="B66" s="610" t="s">
        <v>849</v>
      </c>
      <c r="F66" s="610" t="str">
        <f>"(Line "&amp;A49&amp;", Col H)"</f>
        <v>(Line 33, Col H)</v>
      </c>
      <c r="G66" s="632"/>
      <c r="I66" s="632"/>
      <c r="J66" s="623">
        <f>+J49</f>
        <v>0</v>
      </c>
    </row>
    <row r="67" spans="1:11">
      <c r="A67" s="610">
        <f t="shared" si="10"/>
        <v>50</v>
      </c>
      <c r="B67" s="610" t="s">
        <v>850</v>
      </c>
      <c r="F67" s="610" t="s">
        <v>857</v>
      </c>
      <c r="G67" s="632"/>
      <c r="I67" s="632"/>
      <c r="J67" s="627">
        <v>0</v>
      </c>
    </row>
    <row r="68" spans="1:11">
      <c r="A68" s="610">
        <f t="shared" si="10"/>
        <v>51</v>
      </c>
      <c r="B68" s="610" t="str">
        <f>+B65</f>
        <v>Less non Prorated Items</v>
      </c>
      <c r="F68" s="610" t="str">
        <f>"(Line "&amp;A67&amp;" less line "&amp;A69&amp;")"</f>
        <v>(Line 50 less line 52)</v>
      </c>
      <c r="G68" s="632"/>
      <c r="I68" s="632"/>
      <c r="J68" s="634">
        <f>+J67-J69</f>
        <v>0</v>
      </c>
    </row>
    <row r="69" spans="1:11">
      <c r="A69" s="610">
        <f t="shared" si="10"/>
        <v>52</v>
      </c>
      <c r="B69" s="610" t="s">
        <v>851</v>
      </c>
      <c r="F69" s="610" t="str">
        <f>"(Line "&amp;A61&amp;", Col H)"</f>
        <v>(Line 45, Col H)</v>
      </c>
      <c r="G69" s="632"/>
      <c r="I69" s="632"/>
      <c r="J69" s="623">
        <f>+J61</f>
        <v>0</v>
      </c>
    </row>
    <row r="70" spans="1:11">
      <c r="A70" s="610">
        <f t="shared" si="10"/>
        <v>53</v>
      </c>
      <c r="B70" s="610" t="s">
        <v>768</v>
      </c>
      <c r="F70" s="610" t="str">
        <f>"([Lines "&amp;A66&amp;" + "&amp;A69&amp;"] /2)+([Lines "&amp;A65&amp;" +"&amp;A68&amp;")/2])"</f>
        <v>([Lines 49 + 52] /2)+([Lines 48 +51)/2])</v>
      </c>
      <c r="G70" s="632"/>
      <c r="I70" s="619"/>
      <c r="J70" s="635">
        <f>(J66+J69)/2+(J65+J68)/2</f>
        <v>0</v>
      </c>
    </row>
    <row r="71" spans="1:11">
      <c r="A71" s="610">
        <f t="shared" si="10"/>
        <v>54</v>
      </c>
      <c r="B71" s="610" t="s">
        <v>854</v>
      </c>
      <c r="F71" s="610" t="s">
        <v>861</v>
      </c>
      <c r="G71" s="632"/>
      <c r="I71" s="619"/>
      <c r="J71" s="627">
        <v>0</v>
      </c>
    </row>
    <row r="72" spans="1:11">
      <c r="A72" s="610">
        <f t="shared" si="10"/>
        <v>55</v>
      </c>
      <c r="B72" s="610" t="s">
        <v>864</v>
      </c>
      <c r="F72" s="610" t="str">
        <f>"(Line "&amp;A70&amp;" less line "&amp;A71&amp;")"</f>
        <v>(Line 53 less line 54)</v>
      </c>
      <c r="J72" s="636">
        <f>+J70-J71</f>
        <v>0</v>
      </c>
    </row>
    <row r="73" spans="1:11">
      <c r="A73" s="841" t="str">
        <f>A1</f>
        <v>Worksheet P5</v>
      </c>
      <c r="B73" s="841"/>
      <c r="C73" s="841"/>
      <c r="D73" s="841"/>
      <c r="E73" s="841"/>
      <c r="F73" s="841"/>
      <c r="G73" s="841"/>
      <c r="H73" s="841"/>
      <c r="I73" s="841"/>
      <c r="J73" s="841"/>
      <c r="K73" s="841"/>
    </row>
    <row r="74" spans="1:11">
      <c r="A74" s="841" t="str">
        <f>A2</f>
        <v>Accumulated Deferred Income Taxes</v>
      </c>
      <c r="B74" s="841"/>
      <c r="C74" s="841"/>
      <c r="D74" s="841"/>
      <c r="E74" s="841"/>
      <c r="F74" s="841"/>
      <c r="G74" s="841"/>
      <c r="H74" s="841"/>
      <c r="I74" s="841"/>
      <c r="J74" s="841"/>
      <c r="K74" s="841"/>
    </row>
    <row r="75" spans="1:11">
      <c r="A75" s="841" t="str">
        <f>A3</f>
        <v>Cheyenne Light, Fuel &amp; Power</v>
      </c>
      <c r="B75" s="841"/>
      <c r="C75" s="841"/>
      <c r="D75" s="841"/>
      <c r="E75" s="841"/>
      <c r="F75" s="841"/>
      <c r="G75" s="841"/>
      <c r="H75" s="841"/>
      <c r="I75" s="841"/>
      <c r="J75" s="841"/>
      <c r="K75" s="841"/>
    </row>
    <row r="76" spans="1:11">
      <c r="A76" s="639"/>
      <c r="B76" s="639"/>
      <c r="C76" s="639"/>
      <c r="D76" s="639"/>
      <c r="E76" s="639"/>
      <c r="F76" s="639"/>
      <c r="G76" s="639"/>
      <c r="H76" s="639"/>
      <c r="I76" s="639"/>
      <c r="J76" s="612" t="s">
        <v>985</v>
      </c>
      <c r="K76" s="639"/>
    </row>
    <row r="78" spans="1:11">
      <c r="A78" s="610">
        <f>+A72+1</f>
        <v>56</v>
      </c>
      <c r="B78" s="613" t="s">
        <v>852</v>
      </c>
      <c r="H78" s="614"/>
      <c r="I78" s="614"/>
      <c r="J78" s="614"/>
    </row>
    <row r="79" spans="1:11">
      <c r="A79" s="610">
        <f>+A78+1</f>
        <v>57</v>
      </c>
      <c r="B79" s="846" t="s">
        <v>836</v>
      </c>
      <c r="C79" s="847"/>
      <c r="D79" s="847"/>
      <c r="E79" s="847"/>
      <c r="F79" s="848"/>
      <c r="G79" s="616"/>
      <c r="H79" s="842" t="s">
        <v>837</v>
      </c>
      <c r="I79" s="843"/>
      <c r="J79" s="844"/>
    </row>
    <row r="80" spans="1:11">
      <c r="B80" s="617" t="s">
        <v>79</v>
      </c>
      <c r="C80" s="617" t="s">
        <v>80</v>
      </c>
      <c r="D80" s="617" t="s">
        <v>81</v>
      </c>
      <c r="E80" s="617" t="s">
        <v>82</v>
      </c>
      <c r="F80" s="617" t="s">
        <v>83</v>
      </c>
      <c r="G80" s="616"/>
      <c r="H80" s="617" t="s">
        <v>84</v>
      </c>
      <c r="I80" s="617" t="s">
        <v>85</v>
      </c>
      <c r="J80" s="617" t="s">
        <v>449</v>
      </c>
    </row>
    <row r="81" spans="1:16" ht="52.8">
      <c r="A81" s="610">
        <f>+A79+1</f>
        <v>58</v>
      </c>
      <c r="B81" s="618" t="s">
        <v>268</v>
      </c>
      <c r="C81" s="618" t="s">
        <v>838</v>
      </c>
      <c r="D81" s="618" t="s">
        <v>839</v>
      </c>
      <c r="E81" s="618" t="s">
        <v>840</v>
      </c>
      <c r="F81" s="618" t="s">
        <v>841</v>
      </c>
      <c r="G81" s="619"/>
      <c r="H81" s="618" t="s">
        <v>842</v>
      </c>
      <c r="I81" s="618" t="s">
        <v>843</v>
      </c>
      <c r="J81" s="618" t="s">
        <v>844</v>
      </c>
    </row>
    <row r="82" spans="1:16">
      <c r="A82" s="610">
        <f t="shared" ref="A82:A96" si="11">+A81+1</f>
        <v>59</v>
      </c>
      <c r="C82" s="619"/>
      <c r="D82" s="619"/>
      <c r="E82" s="619"/>
      <c r="F82" s="619"/>
      <c r="G82" s="619"/>
      <c r="H82" s="619"/>
      <c r="I82" s="619"/>
      <c r="J82" s="619"/>
      <c r="L82" s="640"/>
      <c r="M82" s="640"/>
      <c r="N82" s="640"/>
      <c r="O82" s="640"/>
      <c r="P82" s="640"/>
    </row>
    <row r="83" spans="1:16">
      <c r="A83" s="610">
        <f>+A82+1</f>
        <v>60</v>
      </c>
      <c r="B83" s="610" t="s">
        <v>849</v>
      </c>
      <c r="C83" s="621"/>
      <c r="D83" s="622"/>
      <c r="E83" s="622"/>
      <c r="F83" s="622"/>
      <c r="G83" s="622"/>
      <c r="H83" s="623"/>
      <c r="I83" s="623"/>
      <c r="J83" s="624">
        <v>0</v>
      </c>
      <c r="L83" s="641"/>
      <c r="M83" s="640"/>
      <c r="N83" s="640"/>
      <c r="O83" s="640"/>
      <c r="P83" s="640"/>
    </row>
    <row r="84" spans="1:16">
      <c r="A84" s="610">
        <f t="shared" si="11"/>
        <v>61</v>
      </c>
      <c r="B84" s="621" t="s">
        <v>165</v>
      </c>
      <c r="C84" s="626">
        <v>31</v>
      </c>
      <c r="D84" s="749">
        <v>334</v>
      </c>
      <c r="E84" s="749">
        <v>365</v>
      </c>
      <c r="F84" s="574">
        <f>IF(E84=0,0,D84/E84)</f>
        <v>0.91506849315068495</v>
      </c>
      <c r="G84" s="642"/>
      <c r="H84" s="624">
        <v>0</v>
      </c>
      <c r="I84" s="586">
        <f>+H84*F84</f>
        <v>0</v>
      </c>
      <c r="J84" s="586">
        <f>+I84+J83</f>
        <v>0</v>
      </c>
      <c r="L84" s="555"/>
      <c r="M84" s="556"/>
      <c r="N84" s="640"/>
      <c r="O84" s="640"/>
      <c r="P84" s="640"/>
    </row>
    <row r="85" spans="1:16">
      <c r="A85" s="610">
        <f t="shared" si="11"/>
        <v>62</v>
      </c>
      <c r="B85" s="621" t="s">
        <v>166</v>
      </c>
      <c r="C85" s="627">
        <v>28</v>
      </c>
      <c r="D85" s="749">
        <v>306</v>
      </c>
      <c r="E85" s="749">
        <v>365</v>
      </c>
      <c r="F85" s="574">
        <f t="shared" ref="F85:F95" si="12">IF(E85=0,0,D85/E85)</f>
        <v>0.83835616438356164</v>
      </c>
      <c r="G85" s="558"/>
      <c r="H85" s="624">
        <v>0</v>
      </c>
      <c r="I85" s="586">
        <f t="shared" ref="I85:I95" si="13">+H85*F85</f>
        <v>0</v>
      </c>
      <c r="J85" s="586">
        <f t="shared" ref="J85:J95" si="14">+I85+J84</f>
        <v>0</v>
      </c>
      <c r="K85" s="643"/>
      <c r="L85" s="555"/>
      <c r="M85" s="555"/>
      <c r="N85" s="640"/>
      <c r="O85" s="640"/>
      <c r="P85" s="640"/>
    </row>
    <row r="86" spans="1:16">
      <c r="A86" s="610">
        <f t="shared" si="11"/>
        <v>63</v>
      </c>
      <c r="B86" s="621" t="s">
        <v>516</v>
      </c>
      <c r="C86" s="626">
        <v>31</v>
      </c>
      <c r="D86" s="749">
        <v>275</v>
      </c>
      <c r="E86" s="749">
        <v>365</v>
      </c>
      <c r="F86" s="574">
        <f t="shared" si="12"/>
        <v>0.75342465753424659</v>
      </c>
      <c r="G86" s="558"/>
      <c r="H86" s="624">
        <v>0</v>
      </c>
      <c r="I86" s="586">
        <f t="shared" si="13"/>
        <v>0</v>
      </c>
      <c r="J86" s="586">
        <f t="shared" si="14"/>
        <v>0</v>
      </c>
      <c r="L86" s="555"/>
      <c r="M86" s="555"/>
      <c r="N86" s="640"/>
      <c r="O86" s="640"/>
      <c r="P86" s="640"/>
    </row>
    <row r="87" spans="1:16">
      <c r="A87" s="610">
        <f t="shared" si="11"/>
        <v>64</v>
      </c>
      <c r="B87" s="621" t="s">
        <v>167</v>
      </c>
      <c r="C87" s="626">
        <v>30</v>
      </c>
      <c r="D87" s="749">
        <v>245</v>
      </c>
      <c r="E87" s="749">
        <v>365</v>
      </c>
      <c r="F87" s="574">
        <f t="shared" si="12"/>
        <v>0.67123287671232879</v>
      </c>
      <c r="G87" s="558"/>
      <c r="H87" s="624">
        <v>0</v>
      </c>
      <c r="I87" s="586">
        <f t="shared" si="13"/>
        <v>0</v>
      </c>
      <c r="J87" s="586">
        <f t="shared" si="14"/>
        <v>0</v>
      </c>
      <c r="L87" s="555"/>
      <c r="M87" s="555"/>
      <c r="N87" s="640"/>
      <c r="O87" s="640"/>
      <c r="P87" s="640"/>
    </row>
    <row r="88" spans="1:16">
      <c r="A88" s="610">
        <f t="shared" si="11"/>
        <v>65</v>
      </c>
      <c r="B88" s="621" t="s">
        <v>168</v>
      </c>
      <c r="C88" s="626">
        <v>31</v>
      </c>
      <c r="D88" s="749">
        <v>214</v>
      </c>
      <c r="E88" s="749">
        <v>365</v>
      </c>
      <c r="F88" s="574">
        <f t="shared" si="12"/>
        <v>0.58630136986301373</v>
      </c>
      <c r="G88" s="558"/>
      <c r="H88" s="624">
        <v>0</v>
      </c>
      <c r="I88" s="586">
        <f t="shared" si="13"/>
        <v>0</v>
      </c>
      <c r="J88" s="586">
        <f t="shared" si="14"/>
        <v>0</v>
      </c>
      <c r="L88" s="555"/>
      <c r="M88" s="555"/>
      <c r="N88" s="640"/>
      <c r="O88" s="640"/>
      <c r="P88" s="640"/>
    </row>
    <row r="89" spans="1:16">
      <c r="A89" s="610">
        <f t="shared" si="11"/>
        <v>66</v>
      </c>
      <c r="B89" s="621" t="s">
        <v>169</v>
      </c>
      <c r="C89" s="626">
        <v>30</v>
      </c>
      <c r="D89" s="749">
        <v>184</v>
      </c>
      <c r="E89" s="749">
        <v>365</v>
      </c>
      <c r="F89" s="574">
        <f t="shared" si="12"/>
        <v>0.50410958904109593</v>
      </c>
      <c r="G89" s="558"/>
      <c r="H89" s="624">
        <v>0</v>
      </c>
      <c r="I89" s="586">
        <f t="shared" si="13"/>
        <v>0</v>
      </c>
      <c r="J89" s="586">
        <f t="shared" si="14"/>
        <v>0</v>
      </c>
      <c r="L89" s="555"/>
      <c r="M89" s="555"/>
      <c r="N89" s="640"/>
      <c r="O89" s="640"/>
      <c r="P89" s="640"/>
    </row>
    <row r="90" spans="1:16">
      <c r="A90" s="610">
        <f t="shared" si="11"/>
        <v>67</v>
      </c>
      <c r="B90" s="621" t="s">
        <v>170</v>
      </c>
      <c r="C90" s="626">
        <v>31</v>
      </c>
      <c r="D90" s="749">
        <v>153</v>
      </c>
      <c r="E90" s="749">
        <v>365</v>
      </c>
      <c r="F90" s="574">
        <f t="shared" si="12"/>
        <v>0.41917808219178082</v>
      </c>
      <c r="G90" s="558"/>
      <c r="H90" s="624">
        <v>0</v>
      </c>
      <c r="I90" s="586">
        <f t="shared" si="13"/>
        <v>0</v>
      </c>
      <c r="J90" s="586">
        <f t="shared" si="14"/>
        <v>0</v>
      </c>
      <c r="L90" s="555"/>
      <c r="M90" s="555"/>
      <c r="N90" s="641"/>
      <c r="O90" s="640"/>
      <c r="P90" s="555"/>
    </row>
    <row r="91" spans="1:16">
      <c r="A91" s="610">
        <f t="shared" si="11"/>
        <v>68</v>
      </c>
      <c r="B91" s="621" t="s">
        <v>517</v>
      </c>
      <c r="C91" s="626">
        <v>31</v>
      </c>
      <c r="D91" s="749">
        <v>122</v>
      </c>
      <c r="E91" s="749">
        <v>365</v>
      </c>
      <c r="F91" s="574">
        <f t="shared" si="12"/>
        <v>0.33424657534246577</v>
      </c>
      <c r="G91" s="558"/>
      <c r="H91" s="624">
        <v>0</v>
      </c>
      <c r="I91" s="586">
        <f t="shared" si="13"/>
        <v>0</v>
      </c>
      <c r="J91" s="586">
        <f t="shared" si="14"/>
        <v>0</v>
      </c>
      <c r="L91" s="555"/>
      <c r="M91" s="555"/>
      <c r="N91" s="641"/>
      <c r="O91" s="640"/>
      <c r="P91" s="555"/>
    </row>
    <row r="92" spans="1:16">
      <c r="A92" s="610">
        <f t="shared" si="11"/>
        <v>69</v>
      </c>
      <c r="B92" s="621" t="s">
        <v>171</v>
      </c>
      <c r="C92" s="626">
        <v>30</v>
      </c>
      <c r="D92" s="749">
        <v>92</v>
      </c>
      <c r="E92" s="749">
        <v>365</v>
      </c>
      <c r="F92" s="574">
        <f t="shared" si="12"/>
        <v>0.25205479452054796</v>
      </c>
      <c r="G92" s="558"/>
      <c r="H92" s="624">
        <v>0</v>
      </c>
      <c r="I92" s="586">
        <f t="shared" si="13"/>
        <v>0</v>
      </c>
      <c r="J92" s="586">
        <f t="shared" si="14"/>
        <v>0</v>
      </c>
      <c r="L92" s="555"/>
      <c r="M92" s="555"/>
      <c r="N92" s="641"/>
      <c r="O92" s="640"/>
      <c r="P92" s="555"/>
    </row>
    <row r="93" spans="1:16">
      <c r="A93" s="610">
        <f t="shared" si="11"/>
        <v>70</v>
      </c>
      <c r="B93" s="621" t="s">
        <v>172</v>
      </c>
      <c r="C93" s="626">
        <v>31</v>
      </c>
      <c r="D93" s="749">
        <v>61</v>
      </c>
      <c r="E93" s="749">
        <v>365</v>
      </c>
      <c r="F93" s="574">
        <f t="shared" si="12"/>
        <v>0.16712328767123288</v>
      </c>
      <c r="G93" s="558"/>
      <c r="H93" s="624">
        <v>0</v>
      </c>
      <c r="I93" s="586">
        <f t="shared" si="13"/>
        <v>0</v>
      </c>
      <c r="J93" s="586">
        <f t="shared" si="14"/>
        <v>0</v>
      </c>
      <c r="L93" s="555"/>
      <c r="M93" s="555"/>
      <c r="N93" s="641"/>
      <c r="O93" s="640"/>
      <c r="P93" s="555"/>
    </row>
    <row r="94" spans="1:16">
      <c r="A94" s="610">
        <f t="shared" si="11"/>
        <v>71</v>
      </c>
      <c r="B94" s="621" t="s">
        <v>173</v>
      </c>
      <c r="C94" s="626">
        <v>30</v>
      </c>
      <c r="D94" s="749">
        <v>31</v>
      </c>
      <c r="E94" s="749">
        <v>365</v>
      </c>
      <c r="F94" s="574">
        <f t="shared" si="12"/>
        <v>8.4931506849315067E-2</v>
      </c>
      <c r="G94" s="558"/>
      <c r="H94" s="624">
        <v>0</v>
      </c>
      <c r="I94" s="586">
        <f t="shared" si="13"/>
        <v>0</v>
      </c>
      <c r="J94" s="586">
        <f t="shared" si="14"/>
        <v>0</v>
      </c>
      <c r="L94" s="555"/>
      <c r="M94" s="555"/>
      <c r="N94" s="641"/>
      <c r="O94" s="640"/>
      <c r="P94" s="555"/>
    </row>
    <row r="95" spans="1:16">
      <c r="A95" s="610">
        <f t="shared" si="11"/>
        <v>72</v>
      </c>
      <c r="B95" s="621" t="s">
        <v>518</v>
      </c>
      <c r="C95" s="626">
        <v>31</v>
      </c>
      <c r="D95" s="749">
        <v>1</v>
      </c>
      <c r="E95" s="749">
        <v>365</v>
      </c>
      <c r="F95" s="574">
        <f t="shared" si="12"/>
        <v>2.7397260273972603E-3</v>
      </c>
      <c r="G95" s="558"/>
      <c r="H95" s="624">
        <v>0</v>
      </c>
      <c r="I95" s="586">
        <f t="shared" si="13"/>
        <v>0</v>
      </c>
      <c r="J95" s="586">
        <f t="shared" si="14"/>
        <v>0</v>
      </c>
      <c r="L95" s="555"/>
      <c r="M95" s="555"/>
      <c r="N95" s="641"/>
      <c r="O95" s="640"/>
      <c r="P95" s="555"/>
    </row>
    <row r="96" spans="1:16">
      <c r="A96" s="610">
        <f t="shared" si="11"/>
        <v>73</v>
      </c>
      <c r="B96" s="628"/>
      <c r="C96" s="628" t="s">
        <v>9</v>
      </c>
      <c r="D96" s="628"/>
      <c r="E96" s="628"/>
      <c r="F96" s="629"/>
      <c r="G96" s="622"/>
      <c r="H96" s="630">
        <f>SUM(H84:H95)</f>
        <v>0</v>
      </c>
      <c r="I96" s="630">
        <f>SUM(I84:I95)</f>
        <v>0</v>
      </c>
      <c r="J96" s="629"/>
      <c r="L96" s="644"/>
    </row>
    <row r="97" spans="1:16">
      <c r="B97" s="631"/>
      <c r="C97" s="631"/>
      <c r="D97" s="631"/>
      <c r="E97" s="631"/>
      <c r="F97" s="632"/>
      <c r="G97" s="622"/>
      <c r="H97" s="623"/>
      <c r="I97" s="623"/>
      <c r="J97" s="632"/>
      <c r="L97" s="644"/>
    </row>
    <row r="98" spans="1:16">
      <c r="A98" s="610">
        <f>+A96+1</f>
        <v>74</v>
      </c>
      <c r="B98" s="620" t="s">
        <v>898</v>
      </c>
      <c r="C98" s="619"/>
      <c r="D98" s="619"/>
      <c r="E98" s="619"/>
      <c r="F98" s="620" t="s">
        <v>905</v>
      </c>
      <c r="G98" s="619"/>
      <c r="H98" s="619"/>
      <c r="I98" s="619"/>
      <c r="J98" s="585">
        <f>'A3-ADIT'!E13</f>
        <v>-78947475.551625118</v>
      </c>
      <c r="L98" s="640"/>
      <c r="M98" s="640"/>
      <c r="N98" s="640"/>
      <c r="O98" s="640"/>
      <c r="P98" s="640"/>
    </row>
    <row r="99" spans="1:16">
      <c r="A99" s="610">
        <f>A98+1</f>
        <v>75</v>
      </c>
      <c r="B99" s="610" t="s">
        <v>1090</v>
      </c>
      <c r="C99" s="619"/>
      <c r="D99" s="619"/>
      <c r="E99" s="619"/>
      <c r="F99" s="620" t="s">
        <v>1214</v>
      </c>
      <c r="G99" s="619"/>
      <c r="H99" s="619"/>
      <c r="I99" s="619"/>
      <c r="J99" s="735">
        <f>'Proj Att-H'!G234</f>
        <v>0.23459886050901296</v>
      </c>
      <c r="L99" s="640"/>
      <c r="M99" s="640"/>
      <c r="N99" s="640"/>
      <c r="O99" s="640"/>
      <c r="P99" s="640"/>
    </row>
    <row r="100" spans="1:16">
      <c r="A100" s="610">
        <f t="shared" ref="A100:A106" si="15">+A99+1</f>
        <v>76</v>
      </c>
      <c r="B100" s="610" t="s">
        <v>899</v>
      </c>
      <c r="C100" s="619"/>
      <c r="D100" s="619"/>
      <c r="E100" s="619"/>
      <c r="F100" s="620" t="s">
        <v>904</v>
      </c>
      <c r="G100" s="619"/>
      <c r="H100" s="619"/>
      <c r="I100" s="619"/>
      <c r="J100" s="736">
        <f>J98*J99</f>
        <v>-18520987.804474413</v>
      </c>
      <c r="L100" s="640"/>
      <c r="M100" s="640"/>
      <c r="N100" s="640"/>
      <c r="O100" s="640"/>
      <c r="P100" s="640"/>
    </row>
    <row r="101" spans="1:16">
      <c r="A101" s="610">
        <f t="shared" si="15"/>
        <v>77</v>
      </c>
      <c r="B101" s="610" t="s">
        <v>900</v>
      </c>
      <c r="C101" s="619"/>
      <c r="D101" s="619"/>
      <c r="E101" s="619"/>
      <c r="F101" s="620" t="s">
        <v>1212</v>
      </c>
      <c r="G101" s="619"/>
      <c r="H101" s="619"/>
      <c r="I101" s="619"/>
      <c r="J101" s="585">
        <f>'P1-Trans Plant'!V42</f>
        <v>-724770.96571180841</v>
      </c>
      <c r="L101" s="640"/>
      <c r="M101" s="640"/>
      <c r="N101" s="640"/>
      <c r="O101" s="640"/>
      <c r="P101" s="640"/>
    </row>
    <row r="102" spans="1:16">
      <c r="A102" s="610">
        <f t="shared" si="15"/>
        <v>78</v>
      </c>
      <c r="B102" s="610" t="s">
        <v>846</v>
      </c>
      <c r="F102" s="610" t="s">
        <v>903</v>
      </c>
      <c r="G102" s="632"/>
      <c r="I102" s="632"/>
      <c r="J102" s="645">
        <f>J100+J101</f>
        <v>-19245758.770186223</v>
      </c>
    </row>
    <row r="103" spans="1:16">
      <c r="A103" s="610">
        <f t="shared" si="15"/>
        <v>79</v>
      </c>
      <c r="B103" s="610" t="s">
        <v>851</v>
      </c>
      <c r="F103" s="610" t="str">
        <f>"(Line "&amp;A95&amp;", Col H)"</f>
        <v>(Line 72, Col H)</v>
      </c>
      <c r="G103" s="632"/>
      <c r="I103" s="632"/>
      <c r="J103" s="623">
        <f>+J95</f>
        <v>0</v>
      </c>
    </row>
    <row r="104" spans="1:16">
      <c r="A104" s="610">
        <f t="shared" si="15"/>
        <v>80</v>
      </c>
      <c r="B104" s="610" t="s">
        <v>901</v>
      </c>
      <c r="F104" s="610" t="s">
        <v>902</v>
      </c>
      <c r="G104" s="632"/>
      <c r="I104" s="619"/>
      <c r="J104" s="635">
        <f>J102+J103</f>
        <v>-19245758.770186223</v>
      </c>
      <c r="L104" s="646"/>
    </row>
    <row r="105" spans="1:16">
      <c r="A105" s="610">
        <f t="shared" si="15"/>
        <v>81</v>
      </c>
      <c r="B105" s="610" t="s">
        <v>854</v>
      </c>
      <c r="F105" s="610" t="s">
        <v>861</v>
      </c>
      <c r="G105" s="632"/>
      <c r="I105" s="619"/>
      <c r="J105" s="627">
        <v>0</v>
      </c>
    </row>
    <row r="106" spans="1:16">
      <c r="A106" s="610">
        <f t="shared" si="15"/>
        <v>82</v>
      </c>
      <c r="B106" s="610" t="s">
        <v>864</v>
      </c>
      <c r="F106" s="610" t="s">
        <v>911</v>
      </c>
      <c r="J106" s="636">
        <f>+J104-J105</f>
        <v>-19245758.770186223</v>
      </c>
    </row>
    <row r="107" spans="1:16">
      <c r="A107" s="841" t="str">
        <f>A1</f>
        <v>Worksheet P5</v>
      </c>
      <c r="B107" s="841"/>
      <c r="C107" s="841"/>
      <c r="D107" s="841"/>
      <c r="E107" s="841"/>
      <c r="F107" s="841"/>
      <c r="G107" s="841"/>
      <c r="H107" s="841"/>
      <c r="I107" s="841"/>
      <c r="J107" s="841"/>
      <c r="K107" s="841"/>
    </row>
    <row r="108" spans="1:16">
      <c r="A108" s="841" t="str">
        <f>A2</f>
        <v>Accumulated Deferred Income Taxes</v>
      </c>
      <c r="B108" s="841"/>
      <c r="C108" s="841"/>
      <c r="D108" s="841"/>
      <c r="E108" s="841"/>
      <c r="F108" s="841"/>
      <c r="G108" s="841"/>
      <c r="H108" s="841"/>
      <c r="I108" s="841"/>
      <c r="J108" s="841"/>
      <c r="K108" s="841"/>
    </row>
    <row r="109" spans="1:16">
      <c r="A109" s="841" t="str">
        <f>A3</f>
        <v>Cheyenne Light, Fuel &amp; Power</v>
      </c>
      <c r="B109" s="841"/>
      <c r="C109" s="841"/>
      <c r="D109" s="841"/>
      <c r="E109" s="841"/>
      <c r="F109" s="841"/>
      <c r="G109" s="841"/>
      <c r="H109" s="841"/>
      <c r="I109" s="841"/>
      <c r="J109" s="841"/>
      <c r="K109" s="841"/>
    </row>
    <row r="110" spans="1:16">
      <c r="J110" s="612" t="s">
        <v>986</v>
      </c>
    </row>
    <row r="111" spans="1:16">
      <c r="A111" s="647"/>
      <c r="B111" s="647"/>
      <c r="C111" s="647"/>
      <c r="D111" s="647"/>
      <c r="E111" s="647"/>
      <c r="F111" s="647"/>
      <c r="G111" s="647"/>
      <c r="H111" s="647"/>
    </row>
    <row r="112" spans="1:16">
      <c r="A112" s="610">
        <f>A106+1</f>
        <v>83</v>
      </c>
      <c r="B112" s="613" t="s">
        <v>853</v>
      </c>
      <c r="H112" s="614"/>
      <c r="I112" s="614"/>
      <c r="J112" s="614"/>
    </row>
    <row r="113" spans="1:10">
      <c r="A113" s="610">
        <f>+A112+1</f>
        <v>84</v>
      </c>
      <c r="B113" s="842" t="s">
        <v>836</v>
      </c>
      <c r="C113" s="843"/>
      <c r="D113" s="843"/>
      <c r="E113" s="843"/>
      <c r="F113" s="844"/>
      <c r="G113" s="616"/>
      <c r="H113" s="842" t="s">
        <v>837</v>
      </c>
      <c r="I113" s="843"/>
      <c r="J113" s="844"/>
    </row>
    <row r="114" spans="1:10">
      <c r="B114" s="617" t="s">
        <v>79</v>
      </c>
      <c r="C114" s="617" t="s">
        <v>80</v>
      </c>
      <c r="D114" s="617" t="s">
        <v>81</v>
      </c>
      <c r="E114" s="617" t="s">
        <v>82</v>
      </c>
      <c r="F114" s="617" t="s">
        <v>83</v>
      </c>
      <c r="G114" s="616"/>
      <c r="H114" s="617" t="s">
        <v>84</v>
      </c>
      <c r="I114" s="617" t="s">
        <v>85</v>
      </c>
      <c r="J114" s="617" t="s">
        <v>449</v>
      </c>
    </row>
    <row r="115" spans="1:10" ht="52.8">
      <c r="A115" s="610">
        <f>+A113+1</f>
        <v>85</v>
      </c>
      <c r="B115" s="618" t="s">
        <v>268</v>
      </c>
      <c r="C115" s="618" t="s">
        <v>838</v>
      </c>
      <c r="D115" s="618" t="s">
        <v>839</v>
      </c>
      <c r="E115" s="618" t="s">
        <v>840</v>
      </c>
      <c r="F115" s="618" t="s">
        <v>841</v>
      </c>
      <c r="G115" s="619"/>
      <c r="H115" s="618" t="s">
        <v>842</v>
      </c>
      <c r="I115" s="618" t="s">
        <v>843</v>
      </c>
      <c r="J115" s="618" t="s">
        <v>844</v>
      </c>
    </row>
    <row r="116" spans="1:10">
      <c r="A116" s="610">
        <f t="shared" ref="A116:A130" si="16">+A115+1</f>
        <v>86</v>
      </c>
      <c r="C116" s="619"/>
      <c r="D116" s="619"/>
      <c r="E116" s="619"/>
      <c r="F116" s="619"/>
      <c r="G116" s="619"/>
      <c r="H116" s="619"/>
      <c r="I116" s="619"/>
      <c r="J116" s="619"/>
    </row>
    <row r="117" spans="1:10">
      <c r="A117" s="610">
        <f t="shared" si="16"/>
        <v>87</v>
      </c>
      <c r="B117" s="620" t="s">
        <v>845</v>
      </c>
      <c r="C117" s="621"/>
      <c r="D117" s="622"/>
      <c r="E117" s="622"/>
      <c r="F117" s="622"/>
      <c r="G117" s="622"/>
      <c r="H117" s="623"/>
      <c r="I117" s="623"/>
      <c r="J117" s="624">
        <v>0</v>
      </c>
    </row>
    <row r="118" spans="1:10">
      <c r="A118" s="610">
        <f t="shared" si="16"/>
        <v>88</v>
      </c>
      <c r="B118" s="621" t="s">
        <v>165</v>
      </c>
      <c r="C118" s="626">
        <v>31</v>
      </c>
      <c r="D118" s="749">
        <v>334</v>
      </c>
      <c r="E118" s="749">
        <v>365</v>
      </c>
      <c r="F118" s="557">
        <f>IF(E118=0,0,D118/E118)</f>
        <v>0.91506849315068495</v>
      </c>
      <c r="G118" s="553"/>
      <c r="H118" s="624">
        <v>0</v>
      </c>
      <c r="I118" s="554">
        <f>+H118*F118</f>
        <v>0</v>
      </c>
      <c r="J118" s="554">
        <f t="shared" ref="J118:J129" si="17">+I118+J117</f>
        <v>0</v>
      </c>
    </row>
    <row r="119" spans="1:10">
      <c r="A119" s="610">
        <f t="shared" si="16"/>
        <v>89</v>
      </c>
      <c r="B119" s="621" t="s">
        <v>166</v>
      </c>
      <c r="C119" s="627">
        <v>28</v>
      </c>
      <c r="D119" s="749">
        <v>306</v>
      </c>
      <c r="E119" s="749">
        <v>365</v>
      </c>
      <c r="F119" s="557">
        <f t="shared" ref="F119:F129" si="18">IF(E119=0,0,D119/E119)</f>
        <v>0.83835616438356164</v>
      </c>
      <c r="G119" s="553"/>
      <c r="H119" s="624">
        <v>0</v>
      </c>
      <c r="I119" s="554">
        <f t="shared" ref="I119:I129" si="19">+H119*F119</f>
        <v>0</v>
      </c>
      <c r="J119" s="554">
        <f t="shared" si="17"/>
        <v>0</v>
      </c>
    </row>
    <row r="120" spans="1:10">
      <c r="A120" s="610">
        <f t="shared" si="16"/>
        <v>90</v>
      </c>
      <c r="B120" s="621" t="s">
        <v>516</v>
      </c>
      <c r="C120" s="626">
        <v>31</v>
      </c>
      <c r="D120" s="749">
        <v>275</v>
      </c>
      <c r="E120" s="749">
        <v>365</v>
      </c>
      <c r="F120" s="557">
        <f t="shared" si="18"/>
        <v>0.75342465753424659</v>
      </c>
      <c r="G120" s="553"/>
      <c r="H120" s="624">
        <v>0</v>
      </c>
      <c r="I120" s="554">
        <f t="shared" si="19"/>
        <v>0</v>
      </c>
      <c r="J120" s="554">
        <f t="shared" si="17"/>
        <v>0</v>
      </c>
    </row>
    <row r="121" spans="1:10">
      <c r="A121" s="610">
        <f t="shared" si="16"/>
        <v>91</v>
      </c>
      <c r="B121" s="621" t="s">
        <v>167</v>
      </c>
      <c r="C121" s="626">
        <v>30</v>
      </c>
      <c r="D121" s="749">
        <v>245</v>
      </c>
      <c r="E121" s="749">
        <v>365</v>
      </c>
      <c r="F121" s="557">
        <f t="shared" si="18"/>
        <v>0.67123287671232879</v>
      </c>
      <c r="G121" s="553"/>
      <c r="H121" s="624">
        <v>0</v>
      </c>
      <c r="I121" s="554">
        <f t="shared" si="19"/>
        <v>0</v>
      </c>
      <c r="J121" s="554">
        <f t="shared" si="17"/>
        <v>0</v>
      </c>
    </row>
    <row r="122" spans="1:10">
      <c r="A122" s="610">
        <f t="shared" si="16"/>
        <v>92</v>
      </c>
      <c r="B122" s="621" t="s">
        <v>168</v>
      </c>
      <c r="C122" s="626">
        <v>31</v>
      </c>
      <c r="D122" s="749">
        <v>214</v>
      </c>
      <c r="E122" s="749">
        <v>365</v>
      </c>
      <c r="F122" s="557">
        <f t="shared" si="18"/>
        <v>0.58630136986301373</v>
      </c>
      <c r="G122" s="553"/>
      <c r="H122" s="624">
        <v>0</v>
      </c>
      <c r="I122" s="554">
        <f t="shared" si="19"/>
        <v>0</v>
      </c>
      <c r="J122" s="554">
        <f t="shared" si="17"/>
        <v>0</v>
      </c>
    </row>
    <row r="123" spans="1:10">
      <c r="A123" s="610">
        <f t="shared" si="16"/>
        <v>93</v>
      </c>
      <c r="B123" s="621" t="s">
        <v>169</v>
      </c>
      <c r="C123" s="626">
        <v>30</v>
      </c>
      <c r="D123" s="749">
        <v>184</v>
      </c>
      <c r="E123" s="749">
        <v>365</v>
      </c>
      <c r="F123" s="557">
        <f t="shared" si="18"/>
        <v>0.50410958904109593</v>
      </c>
      <c r="G123" s="553"/>
      <c r="H123" s="624">
        <v>0</v>
      </c>
      <c r="I123" s="554">
        <f t="shared" si="19"/>
        <v>0</v>
      </c>
      <c r="J123" s="554">
        <f t="shared" si="17"/>
        <v>0</v>
      </c>
    </row>
    <row r="124" spans="1:10">
      <c r="A124" s="610">
        <f t="shared" si="16"/>
        <v>94</v>
      </c>
      <c r="B124" s="621" t="s">
        <v>170</v>
      </c>
      <c r="C124" s="626">
        <v>31</v>
      </c>
      <c r="D124" s="749">
        <v>153</v>
      </c>
      <c r="E124" s="749">
        <v>365</v>
      </c>
      <c r="F124" s="557">
        <f t="shared" si="18"/>
        <v>0.41917808219178082</v>
      </c>
      <c r="G124" s="553"/>
      <c r="H124" s="624">
        <v>0</v>
      </c>
      <c r="I124" s="554">
        <f t="shared" si="19"/>
        <v>0</v>
      </c>
      <c r="J124" s="554">
        <f t="shared" si="17"/>
        <v>0</v>
      </c>
    </row>
    <row r="125" spans="1:10">
      <c r="A125" s="610">
        <f t="shared" si="16"/>
        <v>95</v>
      </c>
      <c r="B125" s="621" t="s">
        <v>517</v>
      </c>
      <c r="C125" s="626">
        <v>31</v>
      </c>
      <c r="D125" s="749">
        <v>122</v>
      </c>
      <c r="E125" s="749">
        <v>365</v>
      </c>
      <c r="F125" s="557">
        <f t="shared" si="18"/>
        <v>0.33424657534246577</v>
      </c>
      <c r="G125" s="553"/>
      <c r="H125" s="624">
        <v>0</v>
      </c>
      <c r="I125" s="554">
        <f t="shared" si="19"/>
        <v>0</v>
      </c>
      <c r="J125" s="554">
        <f t="shared" si="17"/>
        <v>0</v>
      </c>
    </row>
    <row r="126" spans="1:10">
      <c r="A126" s="610">
        <f t="shared" si="16"/>
        <v>96</v>
      </c>
      <c r="B126" s="621" t="s">
        <v>171</v>
      </c>
      <c r="C126" s="626">
        <v>30</v>
      </c>
      <c r="D126" s="749">
        <v>92</v>
      </c>
      <c r="E126" s="749">
        <v>365</v>
      </c>
      <c r="F126" s="557">
        <f t="shared" si="18"/>
        <v>0.25205479452054796</v>
      </c>
      <c r="G126" s="553"/>
      <c r="H126" s="624">
        <v>0</v>
      </c>
      <c r="I126" s="554">
        <f t="shared" si="19"/>
        <v>0</v>
      </c>
      <c r="J126" s="554">
        <f t="shared" si="17"/>
        <v>0</v>
      </c>
    </row>
    <row r="127" spans="1:10">
      <c r="A127" s="610">
        <f t="shared" si="16"/>
        <v>97</v>
      </c>
      <c r="B127" s="621" t="s">
        <v>172</v>
      </c>
      <c r="C127" s="626">
        <v>31</v>
      </c>
      <c r="D127" s="749">
        <v>61</v>
      </c>
      <c r="E127" s="749">
        <v>365</v>
      </c>
      <c r="F127" s="557">
        <f t="shared" si="18"/>
        <v>0.16712328767123288</v>
      </c>
      <c r="G127" s="553"/>
      <c r="H127" s="624">
        <v>0</v>
      </c>
      <c r="I127" s="554">
        <f t="shared" si="19"/>
        <v>0</v>
      </c>
      <c r="J127" s="554">
        <f t="shared" si="17"/>
        <v>0</v>
      </c>
    </row>
    <row r="128" spans="1:10">
      <c r="A128" s="610">
        <f t="shared" si="16"/>
        <v>98</v>
      </c>
      <c r="B128" s="621" t="s">
        <v>173</v>
      </c>
      <c r="C128" s="626">
        <v>30</v>
      </c>
      <c r="D128" s="749">
        <v>31</v>
      </c>
      <c r="E128" s="749">
        <v>365</v>
      </c>
      <c r="F128" s="557">
        <f t="shared" si="18"/>
        <v>8.4931506849315067E-2</v>
      </c>
      <c r="G128" s="553"/>
      <c r="H128" s="624">
        <v>0</v>
      </c>
      <c r="I128" s="554">
        <f t="shared" si="19"/>
        <v>0</v>
      </c>
      <c r="J128" s="554">
        <f t="shared" si="17"/>
        <v>0</v>
      </c>
    </row>
    <row r="129" spans="1:11">
      <c r="A129" s="610">
        <f t="shared" si="16"/>
        <v>99</v>
      </c>
      <c r="B129" s="621" t="s">
        <v>518</v>
      </c>
      <c r="C129" s="626">
        <v>31</v>
      </c>
      <c r="D129" s="749">
        <v>1</v>
      </c>
      <c r="E129" s="749">
        <v>365</v>
      </c>
      <c r="F129" s="557">
        <f t="shared" si="18"/>
        <v>2.7397260273972603E-3</v>
      </c>
      <c r="G129" s="553"/>
      <c r="H129" s="624">
        <v>0</v>
      </c>
      <c r="I129" s="554">
        <f t="shared" si="19"/>
        <v>0</v>
      </c>
      <c r="J129" s="554">
        <f t="shared" si="17"/>
        <v>0</v>
      </c>
    </row>
    <row r="130" spans="1:11">
      <c r="A130" s="610">
        <f t="shared" si="16"/>
        <v>100</v>
      </c>
      <c r="B130" s="628"/>
      <c r="C130" s="628" t="s">
        <v>9</v>
      </c>
      <c r="D130" s="628"/>
      <c r="E130" s="628"/>
      <c r="F130" s="629"/>
      <c r="G130" s="622"/>
      <c r="H130" s="630">
        <f>SUM(H118:H129)</f>
        <v>0</v>
      </c>
      <c r="I130" s="630">
        <f>SUM(I118:I129)</f>
        <v>0</v>
      </c>
      <c r="J130" s="629"/>
    </row>
    <row r="131" spans="1:11">
      <c r="B131" s="631"/>
      <c r="C131" s="631"/>
      <c r="D131" s="631"/>
      <c r="E131" s="631"/>
      <c r="F131" s="632"/>
      <c r="G131" s="632"/>
      <c r="I131" s="633"/>
      <c r="J131" s="632"/>
    </row>
    <row r="132" spans="1:11">
      <c r="A132" s="610">
        <f>+A130+1</f>
        <v>101</v>
      </c>
      <c r="B132" s="610" t="s">
        <v>846</v>
      </c>
      <c r="F132" s="610" t="s">
        <v>858</v>
      </c>
      <c r="G132" s="632"/>
      <c r="I132" s="632"/>
      <c r="J132" s="627">
        <v>-2910132</v>
      </c>
    </row>
    <row r="133" spans="1:11">
      <c r="A133" s="610">
        <f>+A132+1</f>
        <v>102</v>
      </c>
      <c r="B133" s="610" t="s">
        <v>848</v>
      </c>
      <c r="F133" s="610" t="str">
        <f>"(Line "&amp;A132&amp;" less line "&amp;A134&amp;")"</f>
        <v>(Line 101 less line 103)</v>
      </c>
      <c r="G133" s="632"/>
      <c r="I133" s="632"/>
      <c r="J133" s="634">
        <f>+J132-J134</f>
        <v>-2910132</v>
      </c>
    </row>
    <row r="134" spans="1:11">
      <c r="A134" s="610">
        <f t="shared" ref="A134:A140" si="20">+A133+1</f>
        <v>103</v>
      </c>
      <c r="B134" s="610" t="s">
        <v>849</v>
      </c>
      <c r="F134" s="610" t="str">
        <f>"(Line "&amp;A117&amp;", Col H)"</f>
        <v>(Line 87, Col H)</v>
      </c>
      <c r="G134" s="632"/>
      <c r="I134" s="632"/>
      <c r="J134" s="623">
        <f>+J117</f>
        <v>0</v>
      </c>
    </row>
    <row r="135" spans="1:11">
      <c r="A135" s="610">
        <f t="shared" si="20"/>
        <v>104</v>
      </c>
      <c r="B135" s="610" t="s">
        <v>850</v>
      </c>
      <c r="F135" s="610" t="s">
        <v>859</v>
      </c>
      <c r="G135" s="632"/>
      <c r="I135" s="632"/>
      <c r="J135" s="645">
        <f>'A3-ADIT'!E14</f>
        <v>-5236489</v>
      </c>
    </row>
    <row r="136" spans="1:11">
      <c r="A136" s="610">
        <f t="shared" si="20"/>
        <v>105</v>
      </c>
      <c r="B136" s="610" t="str">
        <f>+B133</f>
        <v>Less non Prorated Items</v>
      </c>
      <c r="F136" s="610" t="str">
        <f>"(Line "&amp;A135&amp;" less line "&amp;A137&amp;")"</f>
        <v>(Line 104 less line 106)</v>
      </c>
      <c r="G136" s="632"/>
      <c r="I136" s="632"/>
      <c r="J136" s="634">
        <f>+J135-J137</f>
        <v>-5236489</v>
      </c>
    </row>
    <row r="137" spans="1:11">
      <c r="A137" s="610">
        <f t="shared" si="20"/>
        <v>106</v>
      </c>
      <c r="B137" s="610" t="s">
        <v>851</v>
      </c>
      <c r="F137" s="610" t="str">
        <f>"(Line "&amp;A129&amp;", Col H)"</f>
        <v>(Line 99, Col H)</v>
      </c>
      <c r="G137" s="632"/>
      <c r="I137" s="632"/>
      <c r="J137" s="623">
        <f>+J129</f>
        <v>0</v>
      </c>
    </row>
    <row r="138" spans="1:11">
      <c r="A138" s="610">
        <f t="shared" si="20"/>
        <v>107</v>
      </c>
      <c r="B138" s="610" t="s">
        <v>768</v>
      </c>
      <c r="F138" s="610" t="str">
        <f>"([Lines "&amp;A134&amp;" + "&amp;A137&amp;"] /2)+([Lines "&amp;A133&amp;" +"&amp;A136&amp;")/2])"</f>
        <v>([Lines 103 + 106] /2)+([Lines 102 +105)/2])</v>
      </c>
      <c r="G138" s="632"/>
      <c r="I138" s="619"/>
      <c r="J138" s="635">
        <f>(J134+J137)/2+(J133+J136)/2</f>
        <v>-4073310.5</v>
      </c>
    </row>
    <row r="139" spans="1:11">
      <c r="A139" s="610">
        <f t="shared" si="20"/>
        <v>108</v>
      </c>
      <c r="B139" s="610" t="s">
        <v>854</v>
      </c>
      <c r="F139" s="610" t="s">
        <v>861</v>
      </c>
      <c r="G139" s="632"/>
      <c r="I139" s="619"/>
      <c r="J139" s="627">
        <v>0</v>
      </c>
    </row>
    <row r="140" spans="1:11">
      <c r="A140" s="610">
        <f t="shared" si="20"/>
        <v>109</v>
      </c>
      <c r="B140" s="610" t="s">
        <v>864</v>
      </c>
      <c r="F140" s="610" t="str">
        <f>"(Line "&amp;A138&amp;" less line "&amp;A139&amp;")"</f>
        <v>(Line 107 less line 108)</v>
      </c>
      <c r="J140" s="636">
        <f>+J138-J139</f>
        <v>-4073310.5</v>
      </c>
    </row>
    <row r="141" spans="1:11">
      <c r="A141" s="841" t="str">
        <f>A39</f>
        <v>Worksheet P5</v>
      </c>
      <c r="B141" s="841"/>
      <c r="C141" s="841"/>
      <c r="D141" s="841"/>
      <c r="E141" s="841"/>
      <c r="F141" s="841"/>
      <c r="G141" s="841"/>
      <c r="H141" s="841"/>
      <c r="I141" s="841"/>
      <c r="J141" s="841"/>
      <c r="K141" s="841"/>
    </row>
    <row r="142" spans="1:11">
      <c r="A142" s="841" t="str">
        <f>"Excess "&amp;A40</f>
        <v>Excess Accumulated Deferred Income Taxes</v>
      </c>
      <c r="B142" s="841"/>
      <c r="C142" s="841"/>
      <c r="D142" s="841"/>
      <c r="E142" s="841"/>
      <c r="F142" s="841"/>
      <c r="G142" s="841"/>
      <c r="H142" s="841"/>
      <c r="I142" s="841"/>
      <c r="J142" s="841"/>
      <c r="K142" s="841"/>
    </row>
    <row r="143" spans="1:11">
      <c r="A143" s="841" t="str">
        <f>A41</f>
        <v>Cheyenne Light, Fuel &amp; Power</v>
      </c>
      <c r="B143" s="841"/>
      <c r="C143" s="841"/>
      <c r="D143" s="841"/>
      <c r="E143" s="841"/>
      <c r="F143" s="841"/>
      <c r="G143" s="841"/>
      <c r="H143" s="841"/>
      <c r="I143" s="841"/>
      <c r="J143" s="841"/>
      <c r="K143" s="841"/>
    </row>
    <row r="144" spans="1:11">
      <c r="J144" s="612" t="s">
        <v>987</v>
      </c>
    </row>
    <row r="145" spans="1:10">
      <c r="A145" s="647"/>
      <c r="B145" s="647"/>
      <c r="C145" s="647"/>
      <c r="D145" s="647"/>
      <c r="E145" s="647"/>
      <c r="F145" s="647"/>
      <c r="G145" s="647"/>
      <c r="H145" s="647"/>
    </row>
    <row r="146" spans="1:10">
      <c r="A146" s="610">
        <f>A140+1</f>
        <v>110</v>
      </c>
      <c r="B146" s="613" t="s">
        <v>988</v>
      </c>
      <c r="H146" s="614"/>
      <c r="I146" s="614"/>
      <c r="J146" s="614"/>
    </row>
    <row r="147" spans="1:10">
      <c r="A147" s="610">
        <f>+A146+1</f>
        <v>111</v>
      </c>
      <c r="B147" s="842" t="s">
        <v>836</v>
      </c>
      <c r="C147" s="843"/>
      <c r="D147" s="843"/>
      <c r="E147" s="843"/>
      <c r="F147" s="844"/>
      <c r="G147" s="616"/>
      <c r="H147" s="842" t="s">
        <v>837</v>
      </c>
      <c r="I147" s="843"/>
      <c r="J147" s="844"/>
    </row>
    <row r="148" spans="1:10">
      <c r="B148" s="617" t="s">
        <v>79</v>
      </c>
      <c r="C148" s="617" t="s">
        <v>80</v>
      </c>
      <c r="D148" s="617" t="s">
        <v>81</v>
      </c>
      <c r="E148" s="617" t="s">
        <v>82</v>
      </c>
      <c r="F148" s="617" t="s">
        <v>83</v>
      </c>
      <c r="G148" s="616"/>
      <c r="H148" s="617" t="s">
        <v>84</v>
      </c>
      <c r="I148" s="617" t="s">
        <v>85</v>
      </c>
      <c r="J148" s="617" t="s">
        <v>449</v>
      </c>
    </row>
    <row r="149" spans="1:10" ht="52.8">
      <c r="A149" s="610">
        <f>+A147+1</f>
        <v>112</v>
      </c>
      <c r="B149" s="618" t="s">
        <v>268</v>
      </c>
      <c r="C149" s="618" t="s">
        <v>838</v>
      </c>
      <c r="D149" s="618" t="s">
        <v>839</v>
      </c>
      <c r="E149" s="618" t="s">
        <v>840</v>
      </c>
      <c r="F149" s="618" t="s">
        <v>841</v>
      </c>
      <c r="G149" s="619"/>
      <c r="H149" s="618" t="s">
        <v>842</v>
      </c>
      <c r="I149" s="618" t="s">
        <v>843</v>
      </c>
      <c r="J149" s="618" t="s">
        <v>844</v>
      </c>
    </row>
    <row r="150" spans="1:10">
      <c r="A150" s="610">
        <f t="shared" ref="A150:A164" si="21">+A149+1</f>
        <v>113</v>
      </c>
      <c r="C150" s="619"/>
      <c r="D150" s="619"/>
      <c r="E150" s="619"/>
      <c r="F150" s="619"/>
      <c r="G150" s="619"/>
      <c r="H150" s="619"/>
      <c r="I150" s="619"/>
      <c r="J150" s="619"/>
    </row>
    <row r="151" spans="1:10">
      <c r="A151" s="610">
        <f t="shared" si="21"/>
        <v>114</v>
      </c>
      <c r="B151" s="620" t="s">
        <v>845</v>
      </c>
      <c r="C151" s="621"/>
      <c r="D151" s="622"/>
      <c r="E151" s="622"/>
      <c r="F151" s="622"/>
      <c r="G151" s="622"/>
      <c r="H151" s="623"/>
      <c r="I151" s="623"/>
      <c r="J151" s="624"/>
    </row>
    <row r="152" spans="1:10">
      <c r="A152" s="610">
        <f t="shared" si="21"/>
        <v>115</v>
      </c>
      <c r="B152" s="621" t="s">
        <v>165</v>
      </c>
      <c r="C152" s="626">
        <v>31</v>
      </c>
      <c r="D152" s="749">
        <v>334</v>
      </c>
      <c r="E152" s="749">
        <v>365</v>
      </c>
      <c r="F152" s="557">
        <f>IF(E152=0,0,D152/E152)</f>
        <v>0.91506849315068495</v>
      </c>
      <c r="G152" s="553"/>
      <c r="H152" s="648">
        <f>'A4-Rate Base'!G111/12</f>
        <v>130289.75</v>
      </c>
      <c r="I152" s="554">
        <f>+H152*F152</f>
        <v>119224.04520547946</v>
      </c>
      <c r="J152" s="586">
        <f t="shared" ref="J152:J163" si="22">+I152+J151</f>
        <v>119224.04520547946</v>
      </c>
    </row>
    <row r="153" spans="1:10">
      <c r="A153" s="610">
        <f t="shared" si="21"/>
        <v>116</v>
      </c>
      <c r="B153" s="621" t="s">
        <v>166</v>
      </c>
      <c r="C153" s="627">
        <v>28</v>
      </c>
      <c r="D153" s="749">
        <v>306</v>
      </c>
      <c r="E153" s="749">
        <v>365</v>
      </c>
      <c r="F153" s="557">
        <f t="shared" ref="F153:F163" si="23">IF(E153=0,0,D153/E153)</f>
        <v>0.83835616438356164</v>
      </c>
      <c r="G153" s="553"/>
      <c r="H153" s="648">
        <f>H152</f>
        <v>130289.75</v>
      </c>
      <c r="I153" s="554">
        <f t="shared" ref="I153:I163" si="24">+H153*F153</f>
        <v>109229.21506849315</v>
      </c>
      <c r="J153" s="586">
        <f t="shared" si="22"/>
        <v>228453.26027397261</v>
      </c>
    </row>
    <row r="154" spans="1:10">
      <c r="A154" s="610">
        <f t="shared" si="21"/>
        <v>117</v>
      </c>
      <c r="B154" s="621" t="s">
        <v>516</v>
      </c>
      <c r="C154" s="626">
        <v>31</v>
      </c>
      <c r="D154" s="749">
        <v>275</v>
      </c>
      <c r="E154" s="749">
        <v>365</v>
      </c>
      <c r="F154" s="557">
        <f t="shared" si="23"/>
        <v>0.75342465753424659</v>
      </c>
      <c r="G154" s="553"/>
      <c r="H154" s="648">
        <f t="shared" ref="H154:H163" si="25">H153</f>
        <v>130289.75</v>
      </c>
      <c r="I154" s="554">
        <f t="shared" si="24"/>
        <v>98163.510273972599</v>
      </c>
      <c r="J154" s="586">
        <f t="shared" si="22"/>
        <v>326616.77054794523</v>
      </c>
    </row>
    <row r="155" spans="1:10">
      <c r="A155" s="610">
        <f t="shared" si="21"/>
        <v>118</v>
      </c>
      <c r="B155" s="621" t="s">
        <v>167</v>
      </c>
      <c r="C155" s="626">
        <v>30</v>
      </c>
      <c r="D155" s="749">
        <v>245</v>
      </c>
      <c r="E155" s="749">
        <v>365</v>
      </c>
      <c r="F155" s="557">
        <f t="shared" si="23"/>
        <v>0.67123287671232879</v>
      </c>
      <c r="G155" s="553"/>
      <c r="H155" s="648">
        <f t="shared" si="25"/>
        <v>130289.75</v>
      </c>
      <c r="I155" s="554">
        <f t="shared" si="24"/>
        <v>87454.763698630137</v>
      </c>
      <c r="J155" s="586">
        <f t="shared" si="22"/>
        <v>414071.53424657538</v>
      </c>
    </row>
    <row r="156" spans="1:10">
      <c r="A156" s="610">
        <f t="shared" si="21"/>
        <v>119</v>
      </c>
      <c r="B156" s="621" t="s">
        <v>168</v>
      </c>
      <c r="C156" s="626">
        <v>31</v>
      </c>
      <c r="D156" s="749">
        <v>214</v>
      </c>
      <c r="E156" s="749">
        <v>365</v>
      </c>
      <c r="F156" s="557">
        <f t="shared" si="23"/>
        <v>0.58630136986301373</v>
      </c>
      <c r="G156" s="553"/>
      <c r="H156" s="648">
        <f t="shared" si="25"/>
        <v>130289.75</v>
      </c>
      <c r="I156" s="554">
        <f t="shared" si="24"/>
        <v>76389.058904109595</v>
      </c>
      <c r="J156" s="586">
        <f t="shared" si="22"/>
        <v>490460.59315068496</v>
      </c>
    </row>
    <row r="157" spans="1:10">
      <c r="A157" s="610">
        <f t="shared" si="21"/>
        <v>120</v>
      </c>
      <c r="B157" s="621" t="s">
        <v>169</v>
      </c>
      <c r="C157" s="626">
        <v>30</v>
      </c>
      <c r="D157" s="749">
        <v>184</v>
      </c>
      <c r="E157" s="749">
        <v>365</v>
      </c>
      <c r="F157" s="557">
        <f t="shared" si="23"/>
        <v>0.50410958904109593</v>
      </c>
      <c r="G157" s="553"/>
      <c r="H157" s="648">
        <f t="shared" si="25"/>
        <v>130289.75</v>
      </c>
      <c r="I157" s="554">
        <f t="shared" si="24"/>
        <v>65680.312328767133</v>
      </c>
      <c r="J157" s="586">
        <f t="shared" si="22"/>
        <v>556140.90547945211</v>
      </c>
    </row>
    <row r="158" spans="1:10">
      <c r="A158" s="610">
        <f t="shared" si="21"/>
        <v>121</v>
      </c>
      <c r="B158" s="621" t="s">
        <v>170</v>
      </c>
      <c r="C158" s="626">
        <v>31</v>
      </c>
      <c r="D158" s="749">
        <v>153</v>
      </c>
      <c r="E158" s="749">
        <v>365</v>
      </c>
      <c r="F158" s="557">
        <f t="shared" si="23"/>
        <v>0.41917808219178082</v>
      </c>
      <c r="G158" s="553"/>
      <c r="H158" s="648">
        <f t="shared" si="25"/>
        <v>130289.75</v>
      </c>
      <c r="I158" s="554">
        <f t="shared" si="24"/>
        <v>54614.607534246577</v>
      </c>
      <c r="J158" s="586">
        <f t="shared" si="22"/>
        <v>610755.51301369863</v>
      </c>
    </row>
    <row r="159" spans="1:10">
      <c r="A159" s="610">
        <f t="shared" si="21"/>
        <v>122</v>
      </c>
      <c r="B159" s="621" t="s">
        <v>517</v>
      </c>
      <c r="C159" s="626">
        <v>31</v>
      </c>
      <c r="D159" s="749">
        <v>122</v>
      </c>
      <c r="E159" s="749">
        <v>365</v>
      </c>
      <c r="F159" s="557">
        <f t="shared" si="23"/>
        <v>0.33424657534246577</v>
      </c>
      <c r="G159" s="553"/>
      <c r="H159" s="648">
        <f t="shared" si="25"/>
        <v>130289.75</v>
      </c>
      <c r="I159" s="554">
        <f t="shared" si="24"/>
        <v>43548.902739726029</v>
      </c>
      <c r="J159" s="586">
        <f t="shared" si="22"/>
        <v>654304.41575342463</v>
      </c>
    </row>
    <row r="160" spans="1:10">
      <c r="A160" s="610">
        <f t="shared" si="21"/>
        <v>123</v>
      </c>
      <c r="B160" s="621" t="s">
        <v>171</v>
      </c>
      <c r="C160" s="626">
        <v>30</v>
      </c>
      <c r="D160" s="749">
        <v>92</v>
      </c>
      <c r="E160" s="749">
        <v>365</v>
      </c>
      <c r="F160" s="557">
        <f t="shared" si="23"/>
        <v>0.25205479452054796</v>
      </c>
      <c r="G160" s="553"/>
      <c r="H160" s="648">
        <f t="shared" si="25"/>
        <v>130289.75</v>
      </c>
      <c r="I160" s="554">
        <f t="shared" si="24"/>
        <v>32840.156164383567</v>
      </c>
      <c r="J160" s="586">
        <f t="shared" si="22"/>
        <v>687144.57191780815</v>
      </c>
    </row>
    <row r="161" spans="1:14">
      <c r="A161" s="610">
        <f t="shared" si="21"/>
        <v>124</v>
      </c>
      <c r="B161" s="621" t="s">
        <v>172</v>
      </c>
      <c r="C161" s="626">
        <v>31</v>
      </c>
      <c r="D161" s="749">
        <v>61</v>
      </c>
      <c r="E161" s="749">
        <v>365</v>
      </c>
      <c r="F161" s="557">
        <f t="shared" si="23"/>
        <v>0.16712328767123288</v>
      </c>
      <c r="G161" s="553"/>
      <c r="H161" s="648">
        <f t="shared" si="25"/>
        <v>130289.75</v>
      </c>
      <c r="I161" s="554">
        <f t="shared" si="24"/>
        <v>21774.451369863014</v>
      </c>
      <c r="J161" s="586">
        <f t="shared" si="22"/>
        <v>708919.02328767115</v>
      </c>
    </row>
    <row r="162" spans="1:14">
      <c r="A162" s="610">
        <f t="shared" si="21"/>
        <v>125</v>
      </c>
      <c r="B162" s="621" t="s">
        <v>173</v>
      </c>
      <c r="C162" s="626">
        <v>30</v>
      </c>
      <c r="D162" s="749">
        <v>31</v>
      </c>
      <c r="E162" s="749">
        <v>365</v>
      </c>
      <c r="F162" s="557">
        <f t="shared" si="23"/>
        <v>8.4931506849315067E-2</v>
      </c>
      <c r="G162" s="553"/>
      <c r="H162" s="648">
        <f t="shared" si="25"/>
        <v>130289.75</v>
      </c>
      <c r="I162" s="554">
        <f t="shared" si="24"/>
        <v>11065.704794520547</v>
      </c>
      <c r="J162" s="586">
        <f t="shared" si="22"/>
        <v>719984.72808219166</v>
      </c>
    </row>
    <row r="163" spans="1:14">
      <c r="A163" s="610">
        <f t="shared" si="21"/>
        <v>126</v>
      </c>
      <c r="B163" s="621" t="s">
        <v>518</v>
      </c>
      <c r="C163" s="626">
        <v>31</v>
      </c>
      <c r="D163" s="749">
        <v>1</v>
      </c>
      <c r="E163" s="749">
        <v>365</v>
      </c>
      <c r="F163" s="557">
        <f t="shared" si="23"/>
        <v>2.7397260273972603E-3</v>
      </c>
      <c r="G163" s="553"/>
      <c r="H163" s="648">
        <f t="shared" si="25"/>
        <v>130289.75</v>
      </c>
      <c r="I163" s="554">
        <f t="shared" si="24"/>
        <v>356.95821917808217</v>
      </c>
      <c r="J163" s="586">
        <f t="shared" si="22"/>
        <v>720341.6863013698</v>
      </c>
      <c r="L163" s="644"/>
    </row>
    <row r="164" spans="1:14">
      <c r="A164" s="610">
        <f t="shared" si="21"/>
        <v>127</v>
      </c>
      <c r="B164" s="628"/>
      <c r="C164" s="628" t="s">
        <v>9</v>
      </c>
      <c r="D164" s="628"/>
      <c r="E164" s="628"/>
      <c r="F164" s="629"/>
      <c r="G164" s="622"/>
      <c r="H164" s="630">
        <f>SUM(H152:H163)</f>
        <v>1563477</v>
      </c>
      <c r="I164" s="630">
        <f>SUM(I152:I163)</f>
        <v>720341.6863013698</v>
      </c>
      <c r="J164" s="629"/>
    </row>
    <row r="165" spans="1:14">
      <c r="B165" s="631"/>
      <c r="C165" s="631"/>
      <c r="D165" s="631"/>
      <c r="E165" s="631"/>
      <c r="F165" s="632"/>
      <c r="G165" s="632"/>
      <c r="I165" s="652"/>
      <c r="J165" s="632"/>
    </row>
    <row r="166" spans="1:14">
      <c r="A166" s="610">
        <f>+A164+1</f>
        <v>128</v>
      </c>
      <c r="B166" s="610" t="s">
        <v>989</v>
      </c>
      <c r="F166" s="610" t="s">
        <v>990</v>
      </c>
      <c r="G166" s="632"/>
      <c r="I166" s="632"/>
      <c r="J166" s="627">
        <v>-34906493</v>
      </c>
      <c r="M166" s="644"/>
      <c r="N166" s="646"/>
    </row>
    <row r="167" spans="1:14">
      <c r="A167" s="610">
        <f t="shared" ref="A167:A173" si="26">+A166+1</f>
        <v>129</v>
      </c>
      <c r="B167" s="610" t="s">
        <v>900</v>
      </c>
      <c r="F167" s="610" t="s">
        <v>918</v>
      </c>
      <c r="G167" s="632"/>
      <c r="I167" s="632"/>
      <c r="J167" s="627">
        <v>1979084.8101265822</v>
      </c>
    </row>
    <row r="168" spans="1:14">
      <c r="A168" s="610">
        <f t="shared" si="26"/>
        <v>130</v>
      </c>
      <c r="B168" s="610" t="s">
        <v>991</v>
      </c>
      <c r="F168" s="610" t="s">
        <v>992</v>
      </c>
      <c r="G168" s="632"/>
      <c r="I168" s="632"/>
      <c r="J168" s="645">
        <f>J166+J167</f>
        <v>-32927408.18987342</v>
      </c>
    </row>
    <row r="169" spans="1:14">
      <c r="A169" s="610">
        <f t="shared" si="26"/>
        <v>131</v>
      </c>
      <c r="B169" s="610" t="s">
        <v>993</v>
      </c>
      <c r="F169" s="620" t="s">
        <v>994</v>
      </c>
      <c r="G169" s="632"/>
      <c r="I169" s="632"/>
      <c r="J169" s="634">
        <f>J168</f>
        <v>-32927408.18987342</v>
      </c>
      <c r="L169" s="644"/>
    </row>
    <row r="170" spans="1:14">
      <c r="A170" s="610">
        <f t="shared" si="26"/>
        <v>132</v>
      </c>
      <c r="B170" s="610" t="s">
        <v>851</v>
      </c>
      <c r="F170" s="610" t="s">
        <v>1008</v>
      </c>
      <c r="G170" s="632"/>
      <c r="I170" s="619"/>
      <c r="J170" s="635">
        <f>J163</f>
        <v>720341.6863013698</v>
      </c>
    </row>
    <row r="171" spans="1:14">
      <c r="A171" s="610">
        <f t="shared" si="26"/>
        <v>133</v>
      </c>
      <c r="B171" s="610" t="s">
        <v>901</v>
      </c>
      <c r="F171" s="610" t="s">
        <v>995</v>
      </c>
      <c r="G171" s="632"/>
      <c r="I171" s="619"/>
      <c r="J171" s="645">
        <f>J169+J170</f>
        <v>-32207066.50357205</v>
      </c>
    </row>
    <row r="172" spans="1:14">
      <c r="A172" s="610">
        <f t="shared" si="26"/>
        <v>134</v>
      </c>
      <c r="B172" s="610" t="s">
        <v>854</v>
      </c>
      <c r="F172" s="610" t="s">
        <v>918</v>
      </c>
      <c r="G172" s="632"/>
      <c r="I172" s="619"/>
      <c r="J172" s="645">
        <v>0</v>
      </c>
    </row>
    <row r="173" spans="1:14">
      <c r="A173" s="610">
        <f t="shared" si="26"/>
        <v>135</v>
      </c>
      <c r="B173" s="610" t="s">
        <v>1000</v>
      </c>
      <c r="F173" s="610" t="s">
        <v>996</v>
      </c>
      <c r="J173" s="646">
        <f>J171-J172</f>
        <v>-32207066.50357205</v>
      </c>
    </row>
    <row r="174" spans="1:14">
      <c r="A174" s="610">
        <v>127</v>
      </c>
      <c r="B174" s="610" t="s">
        <v>1007</v>
      </c>
      <c r="J174" s="654">
        <v>7.9579999999999998E-2</v>
      </c>
    </row>
    <row r="175" spans="1:14">
      <c r="A175" s="610">
        <v>128</v>
      </c>
      <c r="B175" s="613" t="s">
        <v>864</v>
      </c>
      <c r="J175" s="636">
        <f>J173*J174</f>
        <v>-2563038.3523542639</v>
      </c>
      <c r="L175" s="644"/>
      <c r="M175" s="646"/>
      <c r="N175" s="644"/>
    </row>
    <row r="176" spans="1:14">
      <c r="J176" s="650"/>
      <c r="M176" s="644"/>
      <c r="N176" s="644"/>
    </row>
    <row r="177" spans="10:12">
      <c r="J177" s="651"/>
      <c r="L177" s="651"/>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M161"/>
  <sheetViews>
    <sheetView workbookViewId="0">
      <selection activeCell="A52" sqref="A52"/>
    </sheetView>
  </sheetViews>
  <sheetFormatPr defaultColWidth="8.81640625" defaultRowHeight="13.2"/>
  <cols>
    <col min="1" max="1" width="5.81640625" style="369" bestFit="1" customWidth="1"/>
    <col min="2" max="2" width="50.1796875" style="369" customWidth="1"/>
    <col min="3" max="3" width="19.54296875" style="371" bestFit="1" customWidth="1"/>
    <col min="4" max="4" width="12.08984375" style="374" customWidth="1"/>
    <col min="5" max="5" width="7.54296875" style="369" bestFit="1" customWidth="1"/>
    <col min="6" max="16384" width="8.81640625" style="369"/>
  </cols>
  <sheetData>
    <row r="1" spans="1:13">
      <c r="A1" s="798" t="s">
        <v>736</v>
      </c>
      <c r="B1" s="798"/>
      <c r="C1" s="798"/>
      <c r="D1" s="798"/>
      <c r="E1" s="798"/>
      <c r="F1" s="216"/>
      <c r="G1" s="772"/>
      <c r="H1" s="772"/>
      <c r="I1" s="772"/>
      <c r="J1" s="772"/>
      <c r="K1" s="772"/>
      <c r="L1" s="772"/>
      <c r="M1" s="772"/>
    </row>
    <row r="2" spans="1:13">
      <c r="A2" s="798" t="s">
        <v>737</v>
      </c>
      <c r="B2" s="798"/>
      <c r="C2" s="798"/>
      <c r="D2" s="798"/>
      <c r="E2" s="798"/>
      <c r="F2" s="216"/>
      <c r="G2" s="216"/>
    </row>
    <row r="3" spans="1:13">
      <c r="A3" s="799" t="str">
        <f>'Act Att-H'!C7</f>
        <v>Cheyenne Light, Fuel &amp; Power</v>
      </c>
      <c r="B3" s="799"/>
      <c r="C3" s="799"/>
      <c r="D3" s="799"/>
      <c r="E3" s="799"/>
      <c r="F3" s="228"/>
      <c r="G3" s="228"/>
    </row>
    <row r="4" spans="1:13" ht="12.75" customHeight="1">
      <c r="A4" s="370"/>
      <c r="D4" s="372" t="s">
        <v>241</v>
      </c>
      <c r="E4" s="372"/>
    </row>
    <row r="6" spans="1:13">
      <c r="A6" s="434" t="s">
        <v>507</v>
      </c>
      <c r="B6" s="434" t="s">
        <v>191</v>
      </c>
      <c r="C6" s="379" t="s">
        <v>578</v>
      </c>
      <c r="D6" s="435" t="s">
        <v>7</v>
      </c>
    </row>
    <row r="7" spans="1:13">
      <c r="C7" s="442"/>
    </row>
    <row r="8" spans="1:13">
      <c r="A8" s="371">
        <v>1</v>
      </c>
      <c r="B8" s="373" t="s">
        <v>787</v>
      </c>
      <c r="C8" s="442"/>
    </row>
    <row r="9" spans="1:13">
      <c r="A9" s="371">
        <f>A8+1</f>
        <v>2</v>
      </c>
      <c r="B9" s="375" t="s">
        <v>735</v>
      </c>
      <c r="C9" s="442" t="s">
        <v>548</v>
      </c>
      <c r="D9" s="750">
        <f>0+296541+52322+0+403548-510-30344+100372</f>
        <v>821929</v>
      </c>
      <c r="G9" s="421"/>
    </row>
    <row r="10" spans="1:13">
      <c r="A10" s="371">
        <f t="shared" ref="A10:A41" si="0">A9+1</f>
        <v>3</v>
      </c>
      <c r="B10" s="377" t="s">
        <v>734</v>
      </c>
      <c r="C10" s="442" t="s">
        <v>738</v>
      </c>
      <c r="D10" s="750">
        <v>0</v>
      </c>
      <c r="G10" s="421"/>
    </row>
    <row r="11" spans="1:13">
      <c r="A11" s="371">
        <f t="shared" si="0"/>
        <v>4</v>
      </c>
      <c r="B11" s="378" t="s">
        <v>733</v>
      </c>
      <c r="C11" s="442" t="s">
        <v>739</v>
      </c>
      <c r="D11" s="750">
        <v>403548</v>
      </c>
      <c r="G11" s="421"/>
    </row>
    <row r="12" spans="1:13">
      <c r="A12" s="371">
        <f t="shared" si="0"/>
        <v>5</v>
      </c>
      <c r="B12" s="378" t="s">
        <v>732</v>
      </c>
      <c r="C12" s="442" t="s">
        <v>740</v>
      </c>
      <c r="D12" s="750">
        <v>-510</v>
      </c>
      <c r="G12" s="421"/>
    </row>
    <row r="13" spans="1:13">
      <c r="A13" s="371">
        <f t="shared" si="0"/>
        <v>6</v>
      </c>
      <c r="B13" s="378" t="s">
        <v>731</v>
      </c>
      <c r="C13" s="442" t="s">
        <v>741</v>
      </c>
      <c r="D13" s="750">
        <v>-30344</v>
      </c>
      <c r="G13" s="421"/>
    </row>
    <row r="14" spans="1:13">
      <c r="A14" s="371">
        <f t="shared" si="0"/>
        <v>7</v>
      </c>
      <c r="B14" s="378" t="s">
        <v>730</v>
      </c>
      <c r="C14" s="442" t="s">
        <v>742</v>
      </c>
      <c r="D14" s="750">
        <v>100372</v>
      </c>
      <c r="G14" s="421"/>
    </row>
    <row r="15" spans="1:13">
      <c r="A15" s="371">
        <f t="shared" si="0"/>
        <v>8</v>
      </c>
      <c r="B15" s="438" t="s">
        <v>784</v>
      </c>
      <c r="C15" s="752" t="s">
        <v>1215</v>
      </c>
      <c r="D15" s="437">
        <f>D9-D10-D11-D12-D13-D14</f>
        <v>348863</v>
      </c>
    </row>
    <row r="16" spans="1:13">
      <c r="A16" s="371">
        <f t="shared" si="0"/>
        <v>9</v>
      </c>
      <c r="B16" s="375"/>
      <c r="D16" s="376"/>
    </row>
    <row r="17" spans="1:11">
      <c r="A17" s="371">
        <f t="shared" si="0"/>
        <v>10</v>
      </c>
      <c r="B17" s="375" t="s">
        <v>795</v>
      </c>
      <c r="C17" s="442" t="s">
        <v>807</v>
      </c>
      <c r="D17" s="174">
        <f>'A1-RevCred'!H48</f>
        <v>0</v>
      </c>
    </row>
    <row r="18" spans="1:11">
      <c r="A18" s="371">
        <f t="shared" si="0"/>
        <v>11</v>
      </c>
      <c r="B18" s="375"/>
      <c r="D18" s="376"/>
    </row>
    <row r="19" spans="1:11">
      <c r="A19" s="371">
        <f t="shared" si="0"/>
        <v>12</v>
      </c>
      <c r="B19" s="375" t="s">
        <v>797</v>
      </c>
      <c r="C19" s="442" t="s">
        <v>1216</v>
      </c>
      <c r="D19" s="444">
        <f>D15-D17</f>
        <v>348863</v>
      </c>
    </row>
    <row r="20" spans="1:11">
      <c r="A20" s="371">
        <f t="shared" si="0"/>
        <v>13</v>
      </c>
      <c r="B20" s="375"/>
      <c r="C20" s="442"/>
      <c r="D20" s="443"/>
    </row>
    <row r="21" spans="1:11">
      <c r="A21" s="371">
        <f t="shared" si="0"/>
        <v>14</v>
      </c>
      <c r="B21" s="373" t="s">
        <v>796</v>
      </c>
      <c r="D21" s="376"/>
    </row>
    <row r="22" spans="1:11">
      <c r="A22" s="371">
        <f t="shared" si="0"/>
        <v>15</v>
      </c>
      <c r="B22" s="240" t="s">
        <v>791</v>
      </c>
      <c r="C22" s="442" t="s">
        <v>794</v>
      </c>
      <c r="D22" s="440">
        <f>D15</f>
        <v>348863</v>
      </c>
    </row>
    <row r="23" spans="1:11">
      <c r="A23" s="371">
        <f t="shared" si="0"/>
        <v>16</v>
      </c>
      <c r="B23" s="240" t="s">
        <v>826</v>
      </c>
      <c r="C23" s="442" t="s">
        <v>828</v>
      </c>
      <c r="D23" s="436">
        <v>329680</v>
      </c>
      <c r="G23" s="421"/>
    </row>
    <row r="24" spans="1:11">
      <c r="A24" s="371">
        <f t="shared" si="0"/>
        <v>17</v>
      </c>
      <c r="B24" s="240" t="s">
        <v>286</v>
      </c>
      <c r="C24" s="442" t="s">
        <v>798</v>
      </c>
      <c r="D24" s="441">
        <f>D22-D23</f>
        <v>19183</v>
      </c>
    </row>
    <row r="25" spans="1:11" s="240" customFormat="1">
      <c r="A25" s="371">
        <f t="shared" si="0"/>
        <v>18</v>
      </c>
      <c r="B25" s="240" t="s">
        <v>792</v>
      </c>
      <c r="C25" s="244" t="s">
        <v>818</v>
      </c>
      <c r="D25" s="267">
        <f>'TU-TrueUp'!H53</f>
        <v>8.3425000000000013E-2</v>
      </c>
      <c r="I25" s="247"/>
      <c r="J25" s="247"/>
      <c r="K25" s="247"/>
    </row>
    <row r="26" spans="1:11" s="240" customFormat="1">
      <c r="A26" s="371">
        <f t="shared" si="0"/>
        <v>19</v>
      </c>
      <c r="B26" s="240" t="s">
        <v>793</v>
      </c>
      <c r="C26" s="240" t="s">
        <v>947</v>
      </c>
      <c r="D26" s="269">
        <f>D25*D24*24/12</f>
        <v>3200.6835500000002</v>
      </c>
      <c r="I26" s="247"/>
      <c r="J26" s="247"/>
      <c r="K26" s="247"/>
    </row>
    <row r="27" spans="1:11" s="240" customFormat="1">
      <c r="A27" s="371">
        <f t="shared" si="0"/>
        <v>20</v>
      </c>
      <c r="B27" s="244" t="s">
        <v>554</v>
      </c>
      <c r="C27" s="244" t="s">
        <v>799</v>
      </c>
      <c r="D27" s="445">
        <f>(D24+D26)</f>
        <v>22383.683550000002</v>
      </c>
      <c r="E27" s="241"/>
      <c r="I27" s="247"/>
      <c r="J27" s="247"/>
      <c r="K27" s="247"/>
    </row>
    <row r="28" spans="1:11" s="240" customFormat="1">
      <c r="A28" s="371">
        <f t="shared" si="0"/>
        <v>21</v>
      </c>
      <c r="B28" s="243"/>
      <c r="C28" s="244"/>
      <c r="E28" s="241"/>
      <c r="F28" s="439"/>
      <c r="I28" s="247"/>
      <c r="J28" s="247"/>
      <c r="K28" s="247"/>
    </row>
    <row r="29" spans="1:11" s="240" customFormat="1" ht="13.8" thickBot="1">
      <c r="A29" s="371">
        <f t="shared" si="0"/>
        <v>22</v>
      </c>
      <c r="B29" s="243" t="s">
        <v>790</v>
      </c>
      <c r="C29" s="244" t="s">
        <v>827</v>
      </c>
      <c r="D29" s="449">
        <f>D19+D27</f>
        <v>371246.68355000002</v>
      </c>
      <c r="E29" s="241"/>
      <c r="F29" s="439"/>
      <c r="I29" s="247"/>
      <c r="J29" s="247"/>
      <c r="K29" s="247"/>
    </row>
    <row r="30" spans="1:11" s="240" customFormat="1" ht="13.8" thickTop="1">
      <c r="A30" s="371">
        <f t="shared" si="0"/>
        <v>23</v>
      </c>
      <c r="B30" s="243"/>
      <c r="C30" s="244"/>
      <c r="E30" s="241"/>
      <c r="F30" s="439"/>
      <c r="I30" s="247"/>
      <c r="J30" s="247"/>
      <c r="K30" s="247"/>
    </row>
    <row r="31" spans="1:11">
      <c r="A31" s="371">
        <f t="shared" si="0"/>
        <v>24</v>
      </c>
      <c r="B31" s="373" t="s">
        <v>197</v>
      </c>
      <c r="C31" s="71"/>
      <c r="D31" s="107"/>
      <c r="E31" s="71"/>
      <c r="F31" s="71"/>
      <c r="G31" s="71"/>
      <c r="H31" s="71"/>
      <c r="I31" s="107"/>
      <c r="J31" s="71"/>
      <c r="K31" s="71"/>
    </row>
    <row r="32" spans="1:11">
      <c r="A32" s="371">
        <f t="shared" si="0"/>
        <v>25</v>
      </c>
      <c r="B32" s="71" t="s">
        <v>255</v>
      </c>
      <c r="C32" s="103" t="s">
        <v>568</v>
      </c>
      <c r="D32" s="174">
        <f>'P3-Divisor'!G24</f>
        <v>308449.60035523982</v>
      </c>
      <c r="E32" s="71"/>
      <c r="F32" s="71"/>
      <c r="G32" s="71"/>
      <c r="H32" s="71"/>
      <c r="J32" s="71"/>
      <c r="K32" s="71"/>
    </row>
    <row r="33" spans="1:11">
      <c r="A33" s="371">
        <f t="shared" si="0"/>
        <v>26</v>
      </c>
      <c r="B33" s="71"/>
      <c r="C33" s="107"/>
      <c r="D33" s="107"/>
      <c r="E33" s="107"/>
      <c r="F33" s="107"/>
      <c r="G33" s="107"/>
      <c r="H33" s="107"/>
      <c r="I33" s="107"/>
      <c r="J33" s="71"/>
      <c r="K33" s="71"/>
    </row>
    <row r="34" spans="1:11">
      <c r="A34" s="371">
        <f t="shared" si="0"/>
        <v>27</v>
      </c>
      <c r="B34" s="373" t="s">
        <v>152</v>
      </c>
      <c r="C34" s="107"/>
      <c r="D34" s="107"/>
      <c r="E34" s="107"/>
      <c r="F34" s="107"/>
      <c r="G34" s="107"/>
      <c r="H34" s="107"/>
      <c r="I34" s="107"/>
      <c r="J34" s="107"/>
      <c r="K34" s="71"/>
    </row>
    <row r="35" spans="1:11">
      <c r="A35" s="371">
        <f t="shared" si="0"/>
        <v>28</v>
      </c>
      <c r="B35" s="71" t="s">
        <v>256</v>
      </c>
      <c r="C35" s="71"/>
      <c r="D35" s="578">
        <f>ROUND(D29/D32,2)</f>
        <v>1.2</v>
      </c>
      <c r="E35" s="71" t="s">
        <v>245</v>
      </c>
      <c r="F35" s="107"/>
      <c r="G35" s="107"/>
      <c r="H35" s="107"/>
      <c r="I35" s="107"/>
      <c r="J35" s="107"/>
      <c r="K35" s="71"/>
    </row>
    <row r="36" spans="1:11">
      <c r="A36" s="371">
        <f t="shared" si="0"/>
        <v>29</v>
      </c>
      <c r="B36" s="71" t="s">
        <v>257</v>
      </c>
      <c r="C36" s="71" t="s">
        <v>788</v>
      </c>
      <c r="D36" s="578">
        <f>ROUND(D35/12,2)</f>
        <v>0.1</v>
      </c>
      <c r="E36" s="71" t="s">
        <v>246</v>
      </c>
      <c r="F36" s="107"/>
      <c r="G36" s="107"/>
      <c r="H36" s="107"/>
      <c r="I36" s="107"/>
      <c r="J36" s="107"/>
      <c r="K36" s="71"/>
    </row>
    <row r="37" spans="1:11">
      <c r="A37" s="371">
        <f t="shared" si="0"/>
        <v>30</v>
      </c>
      <c r="B37" s="71" t="s">
        <v>258</v>
      </c>
      <c r="C37" s="71" t="s">
        <v>789</v>
      </c>
      <c r="D37" s="578">
        <f>ROUND(D35/52,2)</f>
        <v>0.02</v>
      </c>
      <c r="E37" s="71" t="s">
        <v>247</v>
      </c>
      <c r="F37" s="107"/>
      <c r="G37" s="107"/>
      <c r="H37" s="107"/>
      <c r="I37" s="107"/>
      <c r="J37" s="107"/>
      <c r="K37" s="71"/>
    </row>
    <row r="38" spans="1:11">
      <c r="A38" s="371">
        <f t="shared" si="0"/>
        <v>31</v>
      </c>
      <c r="B38" s="71" t="s">
        <v>259</v>
      </c>
      <c r="C38" s="71" t="s">
        <v>248</v>
      </c>
      <c r="D38" s="579">
        <f>+D37/6</f>
        <v>3.3333333333333335E-3</v>
      </c>
      <c r="E38" s="71" t="s">
        <v>249</v>
      </c>
      <c r="F38" s="107"/>
      <c r="G38" s="107"/>
      <c r="H38" s="107"/>
      <c r="I38" s="107"/>
      <c r="J38" s="107"/>
      <c r="K38" s="71"/>
    </row>
    <row r="39" spans="1:11">
      <c r="A39" s="371">
        <f t="shared" si="0"/>
        <v>32</v>
      </c>
      <c r="B39" s="71" t="s">
        <v>260</v>
      </c>
      <c r="C39" s="71" t="s">
        <v>250</v>
      </c>
      <c r="D39" s="579">
        <f>+D37/7</f>
        <v>2.8571428571428571E-3</v>
      </c>
      <c r="E39" s="71" t="s">
        <v>249</v>
      </c>
      <c r="F39" s="107"/>
      <c r="G39" s="107"/>
      <c r="H39" s="107"/>
      <c r="I39" s="107"/>
      <c r="J39" s="107"/>
      <c r="K39" s="71"/>
    </row>
    <row r="40" spans="1:11">
      <c r="A40" s="371">
        <f t="shared" si="0"/>
        <v>33</v>
      </c>
      <c r="B40" s="71" t="s">
        <v>261</v>
      </c>
      <c r="C40" s="71" t="s">
        <v>251</v>
      </c>
      <c r="D40" s="578">
        <f>+D38/16*1000</f>
        <v>0.20833333333333334</v>
      </c>
      <c r="E40" s="71" t="s">
        <v>895</v>
      </c>
      <c r="F40" s="107"/>
      <c r="G40" s="107"/>
      <c r="H40" s="107"/>
      <c r="I40" s="107"/>
      <c r="J40" s="107"/>
      <c r="K40" s="71"/>
    </row>
    <row r="41" spans="1:11">
      <c r="A41" s="371">
        <f t="shared" si="0"/>
        <v>34</v>
      </c>
      <c r="B41" s="71" t="s">
        <v>262</v>
      </c>
      <c r="C41" s="71" t="s">
        <v>252</v>
      </c>
      <c r="D41" s="578">
        <f>+D39/24*1000</f>
        <v>0.11904761904761904</v>
      </c>
      <c r="E41" s="71" t="s">
        <v>895</v>
      </c>
      <c r="F41" s="107"/>
      <c r="G41" s="107"/>
      <c r="H41" s="107"/>
      <c r="I41" s="107"/>
      <c r="J41" s="107"/>
      <c r="K41" s="71"/>
    </row>
    <row r="42" spans="1:11">
      <c r="A42" s="371"/>
      <c r="B42" s="71"/>
      <c r="C42" s="71"/>
      <c r="D42" s="580"/>
      <c r="E42" s="71"/>
      <c r="F42" s="107"/>
      <c r="G42" s="107"/>
      <c r="H42" s="107"/>
      <c r="I42" s="107"/>
      <c r="J42" s="107"/>
      <c r="K42" s="71"/>
    </row>
    <row r="43" spans="1:11">
      <c r="A43" s="371"/>
      <c r="B43" s="375"/>
      <c r="C43" s="433"/>
      <c r="D43" s="376"/>
    </row>
    <row r="44" spans="1:11">
      <c r="A44" s="206" t="s">
        <v>174</v>
      </c>
      <c r="B44" s="375"/>
      <c r="D44" s="376"/>
    </row>
    <row r="45" spans="1:11">
      <c r="A45" s="423" t="s">
        <v>79</v>
      </c>
      <c r="B45" s="851" t="s">
        <v>829</v>
      </c>
      <c r="C45" s="851"/>
      <c r="D45" s="851"/>
    </row>
    <row r="46" spans="1:11">
      <c r="A46" s="371" t="s">
        <v>80</v>
      </c>
      <c r="B46" s="851" t="s">
        <v>830</v>
      </c>
      <c r="C46" s="851"/>
      <c r="D46" s="851"/>
    </row>
    <row r="47" spans="1:11">
      <c r="A47" s="371"/>
      <c r="B47" s="849"/>
      <c r="C47" s="849"/>
      <c r="D47" s="849"/>
      <c r="G47" s="421"/>
    </row>
    <row r="48" spans="1:11">
      <c r="A48" s="371"/>
      <c r="B48" s="550"/>
      <c r="C48" s="550"/>
      <c r="D48" s="551"/>
    </row>
    <row r="49" spans="1:5">
      <c r="A49" s="371"/>
      <c r="B49" s="549"/>
      <c r="C49" s="550"/>
      <c r="D49" s="551"/>
    </row>
    <row r="50" spans="1:5">
      <c r="A50" s="371"/>
      <c r="B50" s="850"/>
      <c r="C50" s="850"/>
      <c r="D50" s="850"/>
    </row>
    <row r="51" spans="1:5">
      <c r="A51" s="371"/>
      <c r="B51" s="375"/>
      <c r="D51" s="380"/>
      <c r="E51" s="381"/>
    </row>
    <row r="52" spans="1:5">
      <c r="A52" s="371"/>
      <c r="B52" s="375"/>
      <c r="D52" s="380"/>
    </row>
    <row r="53" spans="1:5">
      <c r="A53" s="371"/>
      <c r="B53" s="375"/>
      <c r="D53" s="380"/>
    </row>
    <row r="54" spans="1:5">
      <c r="A54" s="371"/>
      <c r="B54" s="375"/>
      <c r="D54" s="380"/>
    </row>
    <row r="55" spans="1:5">
      <c r="A55" s="371"/>
      <c r="D55" s="376"/>
    </row>
    <row r="56" spans="1:5">
      <c r="A56" s="371"/>
      <c r="B56" s="382"/>
      <c r="D56" s="376"/>
    </row>
    <row r="57" spans="1:5">
      <c r="A57" s="371"/>
      <c r="B57" s="382"/>
      <c r="D57" s="376"/>
    </row>
    <row r="58" spans="1:5">
      <c r="A58" s="371"/>
      <c r="B58" s="382"/>
      <c r="D58" s="376"/>
    </row>
    <row r="59" spans="1:5">
      <c r="A59" s="371"/>
      <c r="B59" s="382"/>
      <c r="D59" s="376"/>
    </row>
    <row r="60" spans="1:5">
      <c r="A60" s="371"/>
      <c r="B60" s="382"/>
      <c r="D60" s="376"/>
    </row>
    <row r="61" spans="1:5">
      <c r="A61" s="371"/>
      <c r="B61" s="382"/>
      <c r="D61" s="376"/>
    </row>
    <row r="62" spans="1:5">
      <c r="A62" s="371"/>
      <c r="B62" s="382"/>
      <c r="D62" s="376"/>
    </row>
    <row r="63" spans="1:5">
      <c r="A63" s="371"/>
      <c r="B63" s="382"/>
      <c r="D63" s="376"/>
    </row>
    <row r="64" spans="1:5">
      <c r="A64" s="371"/>
      <c r="B64" s="382"/>
      <c r="D64" s="376"/>
    </row>
    <row r="65" spans="1:4">
      <c r="A65" s="371"/>
      <c r="B65" s="382"/>
      <c r="D65" s="376"/>
    </row>
    <row r="66" spans="1:4">
      <c r="A66" s="371"/>
      <c r="B66" s="375"/>
      <c r="D66" s="376"/>
    </row>
    <row r="67" spans="1:4">
      <c r="A67" s="371"/>
      <c r="B67" s="375"/>
      <c r="D67" s="376"/>
    </row>
    <row r="68" spans="1:4">
      <c r="A68" s="371"/>
      <c r="B68" s="375"/>
      <c r="D68" s="376"/>
    </row>
    <row r="69" spans="1:4">
      <c r="A69" s="371"/>
      <c r="B69" s="375"/>
      <c r="D69" s="376"/>
    </row>
    <row r="70" spans="1:4">
      <c r="A70" s="371"/>
      <c r="B70" s="375"/>
      <c r="D70" s="376"/>
    </row>
    <row r="71" spans="1:4">
      <c r="A71" s="371"/>
      <c r="B71" s="379"/>
      <c r="D71" s="376"/>
    </row>
    <row r="72" spans="1:4">
      <c r="A72" s="371"/>
      <c r="B72" s="375"/>
    </row>
    <row r="73" spans="1:4">
      <c r="A73" s="371"/>
      <c r="B73" s="375"/>
    </row>
    <row r="74" spans="1:4">
      <c r="A74" s="371"/>
      <c r="B74" s="375"/>
      <c r="D74" s="380"/>
    </row>
    <row r="75" spans="1:4">
      <c r="A75" s="371"/>
      <c r="B75" s="375"/>
      <c r="D75" s="380"/>
    </row>
    <row r="76" spans="1:4">
      <c r="A76" s="371"/>
      <c r="B76" s="375"/>
      <c r="D76" s="380"/>
    </row>
    <row r="77" spans="1:4">
      <c r="A77" s="371"/>
      <c r="B77" s="375"/>
      <c r="D77" s="380"/>
    </row>
    <row r="78" spans="1:4">
      <c r="A78" s="371"/>
      <c r="B78" s="375"/>
      <c r="D78" s="376"/>
    </row>
    <row r="79" spans="1:4">
      <c r="A79" s="371"/>
      <c r="B79" s="375"/>
      <c r="D79" s="376"/>
    </row>
    <row r="80" spans="1:4">
      <c r="A80" s="371"/>
      <c r="B80" s="375"/>
      <c r="D80" s="376"/>
    </row>
    <row r="150" spans="1:11" s="371" customFormat="1">
      <c r="A150" s="369"/>
      <c r="B150" s="369"/>
      <c r="D150" s="374"/>
      <c r="E150" s="369"/>
      <c r="F150" s="369"/>
      <c r="G150" s="369"/>
      <c r="H150" s="369"/>
      <c r="I150" s="369"/>
      <c r="J150" s="369"/>
      <c r="K150" s="369"/>
    </row>
    <row r="161" spans="5:11">
      <c r="E161" s="371"/>
      <c r="F161" s="371"/>
      <c r="G161" s="371"/>
      <c r="H161" s="371"/>
      <c r="I161" s="371"/>
      <c r="J161" s="371"/>
      <c r="K161" s="371"/>
    </row>
  </sheetData>
  <mergeCells count="8">
    <mergeCell ref="G1:M1"/>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D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R275"/>
  <sheetViews>
    <sheetView zoomScale="90" zoomScaleNormal="90" workbookViewId="0">
      <selection activeCell="D137" sqref="D137"/>
    </sheetView>
  </sheetViews>
  <sheetFormatPr defaultColWidth="8.81640625" defaultRowHeight="13.2"/>
  <cols>
    <col min="1" max="1" width="4.1796875" style="103" customWidth="1"/>
    <col min="2" max="2" width="39.1796875" style="103" customWidth="1"/>
    <col min="3" max="3" width="36.81640625" style="103" customWidth="1"/>
    <col min="4" max="4" width="10.81640625" style="103" customWidth="1"/>
    <col min="5" max="5" width="3.81640625" style="103" customWidth="1"/>
    <col min="6" max="6" width="3.54296875" style="103" customWidth="1"/>
    <col min="7" max="7" width="9.81640625" style="103" customWidth="1"/>
    <col min="8" max="8" width="3.1796875" style="103" bestFit="1" customWidth="1"/>
    <col min="9" max="9" width="10.81640625" style="103" customWidth="1"/>
    <col min="10" max="10" width="1.453125" style="103" customWidth="1"/>
    <col min="11" max="11" width="6" style="103" customWidth="1"/>
    <col min="12" max="12" width="10.81640625" style="103" bestFit="1" customWidth="1"/>
    <col min="13" max="13" width="22.453125" style="103" customWidth="1"/>
    <col min="14" max="14" width="10.81640625" style="103" customWidth="1"/>
    <col min="15" max="15" width="9.1796875" style="103" bestFit="1" customWidth="1"/>
    <col min="16" max="16" width="8.81640625" style="103"/>
    <col min="17" max="17" width="10.1796875" style="103" customWidth="1"/>
    <col min="18" max="18" width="8.81640625" style="103"/>
    <col min="19" max="19" width="10.1796875" style="103" customWidth="1"/>
    <col min="20" max="16384" width="8.81640625" style="103"/>
  </cols>
  <sheetData>
    <row r="1" spans="1:18">
      <c r="B1" s="71"/>
      <c r="C1" s="71"/>
      <c r="D1" s="104"/>
      <c r="E1" s="71"/>
      <c r="F1" s="71"/>
      <c r="G1" s="71"/>
      <c r="H1" s="71"/>
      <c r="I1" s="776" t="s">
        <v>479</v>
      </c>
      <c r="J1" s="776"/>
      <c r="K1" s="776"/>
      <c r="L1" s="772"/>
      <c r="M1" s="772"/>
      <c r="N1" s="772"/>
      <c r="O1" s="772"/>
      <c r="P1" s="772"/>
      <c r="Q1" s="772"/>
      <c r="R1" s="772"/>
    </row>
    <row r="2" spans="1:18">
      <c r="B2" s="71"/>
      <c r="C2" s="71"/>
      <c r="D2" s="104"/>
      <c r="E2" s="71"/>
      <c r="F2" s="71"/>
      <c r="G2" s="71"/>
      <c r="H2" s="71"/>
      <c r="I2" s="71"/>
      <c r="J2" s="775" t="s">
        <v>241</v>
      </c>
      <c r="K2" s="775"/>
    </row>
    <row r="3" spans="1:18">
      <c r="B3" s="71"/>
      <c r="D3" s="104"/>
      <c r="E3" s="71"/>
      <c r="F3" s="71"/>
      <c r="G3" s="71"/>
      <c r="H3" s="71"/>
      <c r="I3" s="71"/>
      <c r="J3" s="71"/>
      <c r="K3" s="105"/>
    </row>
    <row r="4" spans="1:18">
      <c r="B4" s="104" t="s">
        <v>0</v>
      </c>
      <c r="C4" s="78" t="s">
        <v>122</v>
      </c>
      <c r="E4" s="71"/>
      <c r="F4" s="71"/>
      <c r="G4" s="71"/>
      <c r="H4" s="71"/>
      <c r="I4" s="71"/>
      <c r="J4" s="71"/>
      <c r="K4" s="106" t="s">
        <v>1238</v>
      </c>
      <c r="L4" s="421"/>
    </row>
    <row r="5" spans="1:18">
      <c r="B5" s="71"/>
      <c r="C5" s="108" t="s">
        <v>123</v>
      </c>
      <c r="E5" s="107"/>
      <c r="F5" s="107"/>
      <c r="G5" s="107"/>
      <c r="H5" s="71"/>
      <c r="I5" s="71"/>
      <c r="J5" s="71"/>
      <c r="K5" s="71"/>
    </row>
    <row r="6" spans="1:18">
      <c r="B6" s="71"/>
      <c r="C6" s="107"/>
      <c r="D6" s="107"/>
      <c r="E6" s="107"/>
      <c r="F6" s="107"/>
      <c r="G6" s="107"/>
      <c r="H6" s="71"/>
      <c r="I6" s="71"/>
      <c r="J6" s="71"/>
      <c r="K6" s="71"/>
    </row>
    <row r="7" spans="1:18">
      <c r="B7" s="71"/>
      <c r="C7" s="109" t="s">
        <v>130</v>
      </c>
      <c r="E7" s="107"/>
      <c r="F7" s="107"/>
      <c r="G7" s="107"/>
      <c r="H7" s="107"/>
      <c r="I7" s="107"/>
      <c r="J7" s="107"/>
      <c r="K7" s="107"/>
    </row>
    <row r="8" spans="1:18">
      <c r="A8" s="78" t="s">
        <v>4</v>
      </c>
      <c r="B8" s="71"/>
      <c r="C8" s="71"/>
      <c r="D8" s="110"/>
      <c r="E8" s="71"/>
      <c r="F8" s="71"/>
      <c r="G8" s="71"/>
      <c r="H8" s="71"/>
      <c r="I8" s="78" t="s">
        <v>5</v>
      </c>
      <c r="J8" s="71"/>
      <c r="K8" s="71"/>
    </row>
    <row r="9" spans="1:18" ht="13.8" thickBot="1">
      <c r="A9" s="111" t="s">
        <v>6</v>
      </c>
      <c r="B9" s="71"/>
      <c r="C9" s="71"/>
      <c r="D9" s="71"/>
      <c r="E9" s="71"/>
      <c r="F9" s="71"/>
      <c r="G9" s="71"/>
      <c r="H9" s="71"/>
      <c r="I9" s="111" t="s">
        <v>7</v>
      </c>
      <c r="J9" s="71"/>
      <c r="K9" s="71"/>
    </row>
    <row r="10" spans="1:18">
      <c r="A10" s="78">
        <v>1</v>
      </c>
      <c r="B10" s="71" t="s">
        <v>125</v>
      </c>
      <c r="C10" s="71"/>
      <c r="D10" s="107"/>
      <c r="E10" s="71"/>
      <c r="F10" s="71"/>
      <c r="G10" s="71"/>
      <c r="H10" s="71"/>
      <c r="I10" s="112">
        <f>'Act Att-H'!I155</f>
        <v>13845098.93080358</v>
      </c>
      <c r="J10" s="71"/>
      <c r="K10" s="71"/>
    </row>
    <row r="11" spans="1:18">
      <c r="A11" s="78"/>
      <c r="B11" s="71"/>
      <c r="C11" s="71"/>
      <c r="D11" s="71"/>
      <c r="E11" s="71"/>
      <c r="F11" s="71"/>
      <c r="G11" s="71"/>
      <c r="H11" s="71"/>
      <c r="I11" s="107"/>
      <c r="J11" s="71"/>
      <c r="K11" s="71"/>
    </row>
    <row r="12" spans="1:18" ht="15.75" customHeight="1" thickBot="1">
      <c r="A12" s="78" t="s">
        <v>2</v>
      </c>
      <c r="B12" s="71" t="s">
        <v>8</v>
      </c>
      <c r="C12" s="107" t="s">
        <v>463</v>
      </c>
      <c r="D12" s="111" t="s">
        <v>9</v>
      </c>
      <c r="E12" s="107"/>
      <c r="F12" s="785" t="s">
        <v>10</v>
      </c>
      <c r="G12" s="785"/>
      <c r="H12" s="71"/>
      <c r="I12" s="107"/>
      <c r="J12" s="71"/>
      <c r="K12" s="71"/>
    </row>
    <row r="13" spans="1:18">
      <c r="A13" s="78">
        <v>2</v>
      </c>
      <c r="B13" s="71" t="s">
        <v>12</v>
      </c>
      <c r="C13" s="107" t="s">
        <v>652</v>
      </c>
      <c r="D13" s="174">
        <f>'A1-RevCred'!J12</f>
        <v>94761.107105105068</v>
      </c>
      <c r="E13" s="107"/>
      <c r="F13" s="107" t="s">
        <v>11</v>
      </c>
      <c r="G13" s="114">
        <f>$I$174</f>
        <v>0.94026910793059781</v>
      </c>
      <c r="H13" s="107"/>
      <c r="I13" s="63">
        <f>+G13*D13</f>
        <v>89100.941644232982</v>
      </c>
      <c r="J13" s="71"/>
      <c r="K13" s="71"/>
    </row>
    <row r="14" spans="1:18">
      <c r="A14" s="78">
        <v>3</v>
      </c>
      <c r="B14" s="71" t="s">
        <v>110</v>
      </c>
      <c r="C14" s="107" t="s">
        <v>808</v>
      </c>
      <c r="D14" s="174">
        <f>'A1-RevCred'!F48</f>
        <v>1625</v>
      </c>
      <c r="E14" s="107"/>
      <c r="F14" s="115" t="str">
        <f t="shared" ref="F14" si="0">+F13</f>
        <v>TP</v>
      </c>
      <c r="G14" s="114">
        <f>$I$174</f>
        <v>0.94026910793059781</v>
      </c>
      <c r="H14" s="107"/>
      <c r="I14" s="63">
        <f>+G14*D14</f>
        <v>1527.9373003872215</v>
      </c>
      <c r="J14" s="71"/>
      <c r="K14" s="71"/>
    </row>
    <row r="15" spans="1:18">
      <c r="A15" s="78">
        <v>4</v>
      </c>
      <c r="B15" s="176" t="s">
        <v>569</v>
      </c>
      <c r="C15" s="107"/>
      <c r="D15" s="175"/>
      <c r="E15" s="107"/>
      <c r="F15" s="115"/>
      <c r="G15" s="114"/>
      <c r="H15" s="107"/>
      <c r="I15" s="63"/>
      <c r="J15" s="71"/>
      <c r="K15" s="71"/>
    </row>
    <row r="16" spans="1:18" ht="13.8" thickBot="1">
      <c r="A16" s="78">
        <v>5</v>
      </c>
      <c r="B16" s="176" t="s">
        <v>569</v>
      </c>
      <c r="C16" s="107"/>
      <c r="D16" s="175"/>
      <c r="E16" s="107"/>
      <c r="F16" s="115"/>
      <c r="G16" s="114"/>
      <c r="H16" s="107"/>
      <c r="I16" s="64"/>
      <c r="J16" s="71"/>
      <c r="K16" s="71"/>
    </row>
    <row r="17" spans="1:11">
      <c r="A17" s="78">
        <v>6</v>
      </c>
      <c r="B17" s="71" t="s">
        <v>91</v>
      </c>
      <c r="C17" s="71"/>
      <c r="D17" s="117" t="s">
        <v>2</v>
      </c>
      <c r="E17" s="107"/>
      <c r="F17" s="107"/>
      <c r="G17" s="118"/>
      <c r="H17" s="107"/>
      <c r="I17" s="63">
        <f>SUM(I13:I16)</f>
        <v>90628.878944620199</v>
      </c>
      <c r="J17" s="71"/>
      <c r="K17" s="71"/>
    </row>
    <row r="18" spans="1:11">
      <c r="A18" s="78"/>
      <c r="B18" s="71"/>
      <c r="C18" s="71"/>
      <c r="I18" s="63"/>
      <c r="J18" s="71"/>
      <c r="K18" s="71"/>
    </row>
    <row r="19" spans="1:11" ht="13.8" thickBot="1">
      <c r="A19" s="78">
        <v>7</v>
      </c>
      <c r="B19" s="71" t="s">
        <v>13</v>
      </c>
      <c r="C19" s="71" t="s">
        <v>817</v>
      </c>
      <c r="D19" s="117"/>
      <c r="E19" s="107"/>
      <c r="F19" s="107"/>
      <c r="G19" s="107"/>
      <c r="H19" s="107"/>
      <c r="I19" s="119">
        <f>I10-I17</f>
        <v>13754470.05185896</v>
      </c>
      <c r="J19" s="71"/>
      <c r="K19" s="71"/>
    </row>
    <row r="20" spans="1:11" ht="13.8" thickTop="1">
      <c r="A20" s="78"/>
      <c r="B20" s="71"/>
      <c r="C20" s="71"/>
      <c r="D20" s="117"/>
      <c r="E20" s="107"/>
      <c r="F20" s="107"/>
      <c r="G20" s="107"/>
      <c r="H20" s="107"/>
      <c r="I20" s="424"/>
      <c r="J20" s="71"/>
      <c r="K20" s="71"/>
    </row>
    <row r="21" spans="1:11">
      <c r="A21" s="78"/>
      <c r="B21" s="71" t="s">
        <v>14</v>
      </c>
      <c r="C21" s="71"/>
      <c r="D21" s="107"/>
      <c r="E21" s="71"/>
      <c r="F21" s="71"/>
      <c r="G21" s="71"/>
      <c r="H21" s="71"/>
      <c r="I21" s="107"/>
      <c r="J21" s="71"/>
      <c r="K21" s="71"/>
    </row>
    <row r="22" spans="1:11">
      <c r="A22" s="78">
        <v>8</v>
      </c>
      <c r="B22" s="71" t="s">
        <v>255</v>
      </c>
      <c r="C22" s="103" t="s">
        <v>653</v>
      </c>
      <c r="D22" s="107"/>
      <c r="E22" s="71"/>
      <c r="F22" s="71"/>
      <c r="G22" s="71"/>
      <c r="H22" s="71"/>
      <c r="I22" s="174">
        <f>'A6-Divisor'!E21</f>
        <v>287750</v>
      </c>
      <c r="J22" s="71"/>
      <c r="K22" s="71"/>
    </row>
    <row r="23" spans="1:11">
      <c r="A23" s="78">
        <v>9</v>
      </c>
      <c r="B23" s="71"/>
      <c r="C23" s="107"/>
      <c r="D23" s="107"/>
      <c r="E23" s="107"/>
      <c r="F23" s="107"/>
      <c r="G23" s="107"/>
      <c r="H23" s="107"/>
      <c r="I23" s="107"/>
      <c r="J23" s="71"/>
      <c r="K23" s="71"/>
    </row>
    <row r="24" spans="1:11">
      <c r="A24" s="78">
        <v>10</v>
      </c>
      <c r="B24" s="107" t="s">
        <v>254</v>
      </c>
      <c r="C24" s="107"/>
      <c r="D24" s="107"/>
      <c r="E24" s="107"/>
      <c r="F24" s="107"/>
      <c r="G24" s="107"/>
      <c r="H24" s="107"/>
      <c r="I24" s="107"/>
      <c r="J24" s="107"/>
      <c r="K24" s="71"/>
    </row>
    <row r="25" spans="1:11">
      <c r="A25" s="78">
        <v>11</v>
      </c>
      <c r="B25" s="71" t="s">
        <v>256</v>
      </c>
      <c r="C25" s="71"/>
      <c r="D25" s="578">
        <f>ROUND(I19/I22,2)</f>
        <v>47.8</v>
      </c>
      <c r="E25" s="71" t="s">
        <v>245</v>
      </c>
      <c r="F25" s="107"/>
      <c r="G25" s="107"/>
      <c r="H25" s="107"/>
      <c r="I25" s="107"/>
      <c r="J25" s="107"/>
      <c r="K25" s="71"/>
    </row>
    <row r="26" spans="1:11">
      <c r="A26" s="78">
        <v>12</v>
      </c>
      <c r="B26" s="71" t="s">
        <v>257</v>
      </c>
      <c r="C26" s="71" t="s">
        <v>788</v>
      </c>
      <c r="D26" s="578">
        <f>ROUND(D25/12,2)</f>
        <v>3.98</v>
      </c>
      <c r="E26" s="71" t="s">
        <v>246</v>
      </c>
      <c r="F26" s="107"/>
      <c r="G26" s="107"/>
      <c r="H26" s="107"/>
      <c r="I26" s="107"/>
      <c r="J26" s="107"/>
      <c r="K26" s="71"/>
    </row>
    <row r="27" spans="1:11">
      <c r="A27" s="78">
        <v>13</v>
      </c>
      <c r="B27" s="71" t="s">
        <v>258</v>
      </c>
      <c r="C27" s="71" t="s">
        <v>789</v>
      </c>
      <c r="D27" s="578">
        <f>ROUND(D25/52,2)</f>
        <v>0.92</v>
      </c>
      <c r="E27" s="71" t="s">
        <v>247</v>
      </c>
      <c r="F27" s="107"/>
      <c r="G27" s="107"/>
      <c r="H27" s="107"/>
      <c r="I27" s="107"/>
      <c r="J27" s="107"/>
      <c r="K27" s="71"/>
    </row>
    <row r="28" spans="1:11">
      <c r="A28" s="78">
        <v>14</v>
      </c>
      <c r="B28" s="71" t="s">
        <v>259</v>
      </c>
      <c r="C28" s="71" t="s">
        <v>248</v>
      </c>
      <c r="D28" s="579">
        <f>+D27/6</f>
        <v>0.15333333333333335</v>
      </c>
      <c r="E28" s="71" t="s">
        <v>249</v>
      </c>
      <c r="F28" s="107"/>
      <c r="G28" s="107"/>
      <c r="H28" s="107"/>
      <c r="I28" s="107"/>
      <c r="J28" s="107"/>
      <c r="K28" s="71"/>
    </row>
    <row r="29" spans="1:11">
      <c r="A29" s="78">
        <v>15</v>
      </c>
      <c r="B29" s="71" t="s">
        <v>260</v>
      </c>
      <c r="C29" s="71" t="s">
        <v>250</v>
      </c>
      <c r="D29" s="579">
        <f>+D27/7</f>
        <v>0.13142857142857142</v>
      </c>
      <c r="E29" s="71" t="s">
        <v>249</v>
      </c>
      <c r="F29" s="107"/>
      <c r="G29" s="107"/>
      <c r="H29" s="107"/>
      <c r="I29" s="107"/>
      <c r="J29" s="107"/>
      <c r="K29" s="71"/>
    </row>
    <row r="30" spans="1:11">
      <c r="A30" s="78">
        <v>16</v>
      </c>
      <c r="B30" s="71" t="s">
        <v>261</v>
      </c>
      <c r="C30" s="71" t="s">
        <v>251</v>
      </c>
      <c r="D30" s="578">
        <f>+D28/16*1000</f>
        <v>9.5833333333333339</v>
      </c>
      <c r="E30" s="71" t="s">
        <v>895</v>
      </c>
      <c r="F30" s="107"/>
      <c r="G30" s="107"/>
      <c r="H30" s="107"/>
      <c r="I30" s="107"/>
      <c r="J30" s="107"/>
      <c r="K30" s="71"/>
    </row>
    <row r="31" spans="1:11">
      <c r="A31" s="78">
        <v>17</v>
      </c>
      <c r="B31" s="71" t="s">
        <v>262</v>
      </c>
      <c r="C31" s="71" t="s">
        <v>252</v>
      </c>
      <c r="D31" s="578">
        <f>+D29/24*1000</f>
        <v>5.4761904761904754</v>
      </c>
      <c r="E31" s="71" t="s">
        <v>895</v>
      </c>
      <c r="F31" s="107"/>
      <c r="G31" s="107"/>
      <c r="H31" s="107"/>
      <c r="I31" s="107"/>
      <c r="J31" s="107"/>
      <c r="K31" s="71"/>
    </row>
    <row r="32" spans="1:11">
      <c r="B32" s="71"/>
      <c r="C32" s="71"/>
      <c r="D32" s="104"/>
      <c r="E32" s="71"/>
      <c r="F32" s="71"/>
      <c r="G32" s="71"/>
      <c r="H32" s="71"/>
      <c r="I32" s="776" t="str">
        <f>I1</f>
        <v>Actual Attachment H</v>
      </c>
      <c r="J32" s="776"/>
      <c r="K32" s="776"/>
    </row>
    <row r="33" spans="1:11">
      <c r="B33" s="71"/>
      <c r="C33" s="71"/>
      <c r="D33" s="104"/>
      <c r="E33" s="71"/>
      <c r="F33" s="71"/>
      <c r="G33" s="71"/>
      <c r="H33" s="71"/>
      <c r="I33" s="71"/>
      <c r="J33" s="775" t="s">
        <v>242</v>
      </c>
      <c r="K33" s="775"/>
    </row>
    <row r="34" spans="1:11">
      <c r="B34" s="71"/>
      <c r="C34" s="71"/>
      <c r="D34" s="104"/>
      <c r="E34" s="71"/>
      <c r="F34" s="71"/>
      <c r="G34" s="71"/>
      <c r="H34" s="71"/>
      <c r="I34" s="71"/>
      <c r="J34" s="71"/>
      <c r="K34" s="105"/>
    </row>
    <row r="35" spans="1:11">
      <c r="B35" s="104" t="s">
        <v>0</v>
      </c>
      <c r="C35" s="71"/>
      <c r="D35" s="78" t="s">
        <v>1</v>
      </c>
      <c r="E35" s="71"/>
      <c r="F35" s="71"/>
      <c r="G35" s="71"/>
      <c r="H35" s="71"/>
      <c r="I35" s="71"/>
      <c r="J35" s="71"/>
      <c r="K35" s="121" t="str">
        <f>K4</f>
        <v>Actuals - For the 12 months ended 12/31/2023</v>
      </c>
    </row>
    <row r="36" spans="1:11">
      <c r="B36" s="71"/>
      <c r="C36" s="107"/>
      <c r="D36" s="108" t="s">
        <v>3</v>
      </c>
      <c r="E36" s="107"/>
      <c r="F36" s="107"/>
      <c r="G36" s="107"/>
      <c r="H36" s="71"/>
      <c r="I36" s="71"/>
      <c r="J36" s="71"/>
      <c r="K36" s="71"/>
    </row>
    <row r="37" spans="1:11">
      <c r="B37" s="71"/>
      <c r="C37" s="107"/>
      <c r="D37" s="107"/>
      <c r="E37" s="107"/>
      <c r="F37" s="107"/>
      <c r="G37" s="107"/>
      <c r="H37" s="71"/>
      <c r="I37" s="71"/>
      <c r="J37" s="71"/>
      <c r="K37" s="71"/>
    </row>
    <row r="38" spans="1:11">
      <c r="A38" s="78"/>
      <c r="D38" s="122" t="str">
        <f>C7</f>
        <v>Cheyenne Light, Fuel &amp; Power</v>
      </c>
      <c r="J38" s="107"/>
      <c r="K38" s="107"/>
    </row>
    <row r="39" spans="1:11">
      <c r="B39" s="71"/>
      <c r="C39" s="71"/>
      <c r="D39" s="71"/>
      <c r="E39" s="71"/>
      <c r="F39" s="71"/>
      <c r="G39" s="71"/>
      <c r="H39" s="71"/>
      <c r="J39" s="71"/>
      <c r="K39" s="71"/>
    </row>
    <row r="40" spans="1:11">
      <c r="B40" s="78" t="s">
        <v>15</v>
      </c>
      <c r="C40" s="78" t="s">
        <v>16</v>
      </c>
      <c r="D40" s="78" t="s">
        <v>17</v>
      </c>
      <c r="E40" s="107" t="s">
        <v>2</v>
      </c>
      <c r="F40" s="107"/>
      <c r="G40" s="123" t="s">
        <v>18</v>
      </c>
      <c r="H40" s="107"/>
      <c r="I40" s="124" t="s">
        <v>19</v>
      </c>
      <c r="J40" s="107"/>
      <c r="K40" s="78"/>
    </row>
    <row r="41" spans="1:11">
      <c r="B41" s="71"/>
      <c r="C41" s="125" t="s">
        <v>20</v>
      </c>
      <c r="D41" s="107"/>
      <c r="E41" s="107"/>
      <c r="F41" s="107"/>
      <c r="G41" s="78"/>
      <c r="H41" s="107"/>
      <c r="I41" s="126" t="s">
        <v>21</v>
      </c>
      <c r="J41" s="107"/>
      <c r="K41" s="78"/>
    </row>
    <row r="42" spans="1:11">
      <c r="A42" s="78" t="s">
        <v>4</v>
      </c>
      <c r="B42" s="71"/>
      <c r="C42" s="127" t="s">
        <v>22</v>
      </c>
      <c r="D42" s="126" t="s">
        <v>23</v>
      </c>
      <c r="E42" s="128"/>
      <c r="F42" s="126" t="s">
        <v>24</v>
      </c>
      <c r="H42" s="128"/>
      <c r="I42" s="78" t="s">
        <v>25</v>
      </c>
      <c r="J42" s="107"/>
      <c r="K42" s="78"/>
    </row>
    <row r="43" spans="1:11" ht="13.8" thickBot="1">
      <c r="A43" s="111" t="s">
        <v>6</v>
      </c>
      <c r="B43" s="129" t="s">
        <v>473</v>
      </c>
      <c r="C43" s="107"/>
      <c r="D43" s="107"/>
      <c r="E43" s="107"/>
      <c r="F43" s="107"/>
      <c r="G43" s="107"/>
      <c r="H43" s="107"/>
      <c r="I43" s="107"/>
      <c r="J43" s="107"/>
      <c r="K43" s="107"/>
    </row>
    <row r="44" spans="1:11">
      <c r="A44" s="78"/>
      <c r="B44" s="71" t="s">
        <v>470</v>
      </c>
      <c r="C44" s="107"/>
      <c r="D44" s="107"/>
      <c r="E44" s="107"/>
      <c r="F44" s="107"/>
      <c r="G44" s="107"/>
      <c r="H44" s="107"/>
      <c r="I44" s="107"/>
      <c r="J44" s="107"/>
      <c r="K44" s="107"/>
    </row>
    <row r="45" spans="1:11">
      <c r="A45" s="78">
        <v>1</v>
      </c>
      <c r="B45" s="71" t="s">
        <v>26</v>
      </c>
      <c r="C45" s="51" t="s">
        <v>658</v>
      </c>
      <c r="D45" s="174">
        <f>'A4-Rate Base'!C23</f>
        <v>351822632.04923081</v>
      </c>
      <c r="E45" s="107"/>
      <c r="F45" s="107" t="s">
        <v>27</v>
      </c>
      <c r="G45" s="130" t="s">
        <v>2</v>
      </c>
      <c r="H45" s="107"/>
      <c r="I45" s="63">
        <v>0</v>
      </c>
      <c r="J45" s="107"/>
      <c r="K45" s="107"/>
    </row>
    <row r="46" spans="1:11">
      <c r="A46" s="78">
        <v>2</v>
      </c>
      <c r="B46" s="71" t="s">
        <v>28</v>
      </c>
      <c r="C46" s="51" t="s">
        <v>659</v>
      </c>
      <c r="D46" s="174">
        <f>'A4-Rate Base'!D23</f>
        <v>121038434.95615387</v>
      </c>
      <c r="E46" s="107"/>
      <c r="F46" s="107" t="s">
        <v>11</v>
      </c>
      <c r="G46" s="114">
        <f>$I$174</f>
        <v>0.94026910793059781</v>
      </c>
      <c r="H46" s="107"/>
      <c r="I46" s="63">
        <f>+G46*D46</f>
        <v>113808701.26153849</v>
      </c>
      <c r="J46" s="107"/>
      <c r="K46" s="107"/>
    </row>
    <row r="47" spans="1:11">
      <c r="A47" s="78">
        <v>3</v>
      </c>
      <c r="B47" s="71" t="s">
        <v>29</v>
      </c>
      <c r="C47" s="51" t="s">
        <v>660</v>
      </c>
      <c r="D47" s="174">
        <f>'A4-Rate Base'!E23</f>
        <v>268799087.43716753</v>
      </c>
      <c r="E47" s="107"/>
      <c r="F47" s="107" t="s">
        <v>27</v>
      </c>
      <c r="G47" s="130" t="s">
        <v>2</v>
      </c>
      <c r="H47" s="107"/>
      <c r="I47" s="63">
        <v>0</v>
      </c>
      <c r="J47" s="107"/>
      <c r="K47" s="107"/>
    </row>
    <row r="48" spans="1:11">
      <c r="A48" s="78">
        <v>4</v>
      </c>
      <c r="B48" s="71" t="s">
        <v>30</v>
      </c>
      <c r="C48" s="51" t="s">
        <v>661</v>
      </c>
      <c r="D48" s="174">
        <f>'A4-Rate Base'!F23</f>
        <v>22301501.181538455</v>
      </c>
      <c r="E48" s="107"/>
      <c r="F48" s="107" t="s">
        <v>31</v>
      </c>
      <c r="G48" s="131">
        <f>$I$191</f>
        <v>8.3563690936576104E-2</v>
      </c>
      <c r="H48" s="107"/>
      <c r="I48" s="63">
        <f>+G48*D48</f>
        <v>1863595.7521557664</v>
      </c>
      <c r="J48" s="107"/>
      <c r="K48" s="107"/>
    </row>
    <row r="49" spans="1:11">
      <c r="A49" s="78">
        <v>5</v>
      </c>
      <c r="B49" s="71" t="s">
        <v>32</v>
      </c>
      <c r="C49" s="51" t="s">
        <v>662</v>
      </c>
      <c r="D49" s="174">
        <f>'A4-Rate Base'!G23</f>
        <v>13472901.923076924</v>
      </c>
      <c r="E49" s="107"/>
      <c r="F49" s="107" t="s">
        <v>67</v>
      </c>
      <c r="G49" s="131">
        <f>$K$195</f>
        <v>8.1904195946416361E-2</v>
      </c>
      <c r="H49" s="107"/>
      <c r="I49" s="63">
        <f>+G49*D49</f>
        <v>1103487.1990745421</v>
      </c>
      <c r="J49" s="107"/>
      <c r="K49" s="107"/>
    </row>
    <row r="50" spans="1:11">
      <c r="A50" s="78">
        <v>6</v>
      </c>
      <c r="B50" s="71" t="s">
        <v>364</v>
      </c>
      <c r="C50" s="52" t="s">
        <v>363</v>
      </c>
      <c r="D50" s="184">
        <f>SUM(D45:D49)</f>
        <v>777434557.54716754</v>
      </c>
      <c r="E50" s="107"/>
      <c r="F50" s="107" t="s">
        <v>33</v>
      </c>
      <c r="G50" s="114">
        <f>IF(I50&gt;0,I50/D50,0)</f>
        <v>0.15020657762011552</v>
      </c>
      <c r="H50" s="107"/>
      <c r="I50" s="184">
        <f>SUM(I45:I49)</f>
        <v>116775784.21276879</v>
      </c>
      <c r="J50" s="107"/>
      <c r="K50" s="384"/>
    </row>
    <row r="51" spans="1:11">
      <c r="B51" s="71"/>
      <c r="C51" s="107"/>
      <c r="D51" s="107"/>
      <c r="E51" s="107"/>
      <c r="F51" s="107"/>
      <c r="G51" s="133"/>
      <c r="H51" s="107"/>
      <c r="I51" s="63"/>
      <c r="J51" s="107"/>
      <c r="K51" s="133"/>
    </row>
    <row r="52" spans="1:11">
      <c r="B52" s="71" t="s">
        <v>471</v>
      </c>
      <c r="C52" s="107"/>
      <c r="D52" s="107"/>
      <c r="E52" s="107"/>
      <c r="F52" s="107"/>
      <c r="G52" s="107"/>
      <c r="H52" s="107"/>
      <c r="I52" s="107"/>
      <c r="J52" s="107"/>
      <c r="K52" s="107"/>
    </row>
    <row r="53" spans="1:11">
      <c r="A53" s="78">
        <v>7</v>
      </c>
      <c r="B53" s="134" t="str">
        <f>+B45</f>
        <v xml:space="preserve">  Production</v>
      </c>
      <c r="C53" s="51" t="s">
        <v>663</v>
      </c>
      <c r="D53" s="174">
        <f>'A4-Rate Base'!E46</f>
        <v>77990442.206153855</v>
      </c>
      <c r="E53" s="107"/>
      <c r="F53" s="115" t="str">
        <f>+F45</f>
        <v>NA</v>
      </c>
      <c r="G53" s="131"/>
      <c r="H53" s="107"/>
      <c r="I53" s="63">
        <v>0</v>
      </c>
      <c r="J53" s="107"/>
      <c r="K53" s="107"/>
    </row>
    <row r="54" spans="1:11">
      <c r="A54" s="78">
        <v>8</v>
      </c>
      <c r="B54" s="134" t="str">
        <f>+B46</f>
        <v xml:space="preserve">  Transmission</v>
      </c>
      <c r="C54" s="51" t="s">
        <v>664</v>
      </c>
      <c r="D54" s="174">
        <f>'A4-Rate Base'!F46</f>
        <v>9397117.7023345083</v>
      </c>
      <c r="E54" s="107"/>
      <c r="F54" s="115" t="str">
        <f t="shared" ref="F54:F57" si="1">+F46</f>
        <v>TP</v>
      </c>
      <c r="G54" s="114">
        <f>$I$174</f>
        <v>0.94026910793059781</v>
      </c>
      <c r="H54" s="107"/>
      <c r="I54" s="63">
        <f>+G54*D54</f>
        <v>8835819.4790928978</v>
      </c>
      <c r="J54" s="107"/>
      <c r="K54" s="107"/>
    </row>
    <row r="55" spans="1:11">
      <c r="A55" s="78">
        <v>9</v>
      </c>
      <c r="B55" s="134" t="str">
        <f>+B47</f>
        <v xml:space="preserve">  Distribution</v>
      </c>
      <c r="C55" s="51" t="s">
        <v>665</v>
      </c>
      <c r="D55" s="174">
        <f>'A4-Rate Base'!G46</f>
        <v>73356103.236705318</v>
      </c>
      <c r="E55" s="107"/>
      <c r="F55" s="115" t="str">
        <f t="shared" si="1"/>
        <v>NA</v>
      </c>
      <c r="G55" s="131"/>
      <c r="H55" s="107"/>
      <c r="I55" s="63">
        <v>0</v>
      </c>
      <c r="J55" s="107"/>
      <c r="K55" s="107"/>
    </row>
    <row r="56" spans="1:11">
      <c r="A56" s="78">
        <v>10</v>
      </c>
      <c r="B56" s="134" t="str">
        <f>+B48</f>
        <v xml:space="preserve">  General &amp; Intangible</v>
      </c>
      <c r="C56" s="51" t="s">
        <v>666</v>
      </c>
      <c r="D56" s="174">
        <f>'A4-Rate Base'!H46</f>
        <v>6250412.3209693413</v>
      </c>
      <c r="E56" s="107"/>
      <c r="F56" s="115" t="str">
        <f t="shared" si="1"/>
        <v>W/S</v>
      </c>
      <c r="G56" s="131">
        <f>$I$191</f>
        <v>8.3563690936576104E-2</v>
      </c>
      <c r="H56" s="107"/>
      <c r="I56" s="63">
        <f>+G56*D56</f>
        <v>522307.52341564937</v>
      </c>
      <c r="J56" s="107"/>
      <c r="K56" s="107"/>
    </row>
    <row r="57" spans="1:11">
      <c r="A57" s="78">
        <v>11</v>
      </c>
      <c r="B57" s="134" t="str">
        <f>+B49</f>
        <v xml:space="preserve">  Common</v>
      </c>
      <c r="C57" s="51" t="s">
        <v>667</v>
      </c>
      <c r="D57" s="174">
        <f>'A4-Rate Base'!I46</f>
        <v>4207966</v>
      </c>
      <c r="E57" s="107"/>
      <c r="F57" s="115" t="str">
        <f t="shared" si="1"/>
        <v>CE</v>
      </c>
      <c r="G57" s="131">
        <f>$K$195</f>
        <v>8.1904195946416361E-2</v>
      </c>
      <c r="H57" s="107"/>
      <c r="I57" s="59">
        <f>+G57*D57</f>
        <v>344650.07179985789</v>
      </c>
      <c r="J57" s="107"/>
      <c r="K57" s="107"/>
    </row>
    <row r="58" spans="1:11">
      <c r="A58" s="78">
        <v>12</v>
      </c>
      <c r="B58" s="71" t="s">
        <v>366</v>
      </c>
      <c r="C58" s="52" t="s">
        <v>365</v>
      </c>
      <c r="D58" s="184">
        <f>SUM(D53:D57)</f>
        <v>171202041.46616304</v>
      </c>
      <c r="E58" s="107"/>
      <c r="F58" s="107"/>
      <c r="G58" s="107"/>
      <c r="H58" s="107"/>
      <c r="I58" s="184">
        <f>SUM(I53:I57)</f>
        <v>9702777.0743084047</v>
      </c>
      <c r="J58" s="107"/>
      <c r="K58" s="107"/>
    </row>
    <row r="59" spans="1:11">
      <c r="A59" s="78"/>
      <c r="C59" s="107" t="s">
        <v>2</v>
      </c>
      <c r="E59" s="107"/>
      <c r="F59" s="107"/>
      <c r="G59" s="133"/>
      <c r="H59" s="107"/>
      <c r="J59" s="107"/>
      <c r="K59" s="133"/>
    </row>
    <row r="60" spans="1:11">
      <c r="A60" s="78"/>
      <c r="B60" s="71" t="s">
        <v>141</v>
      </c>
      <c r="C60" s="107"/>
      <c r="D60" s="107"/>
      <c r="E60" s="107"/>
      <c r="F60" s="107"/>
      <c r="G60" s="107"/>
      <c r="H60" s="107"/>
      <c r="I60" s="107"/>
      <c r="J60" s="107"/>
      <c r="K60" s="107"/>
    </row>
    <row r="61" spans="1:11">
      <c r="A61" s="78">
        <v>13</v>
      </c>
      <c r="B61" s="134" t="str">
        <f>+B53</f>
        <v xml:space="preserve">  Production</v>
      </c>
      <c r="C61" s="52" t="str">
        <f>"(Line "&amp;A45&amp;" - Line "&amp;A53&amp;")"</f>
        <v>(Line 1 - Line 7)</v>
      </c>
      <c r="D61" s="63">
        <f>D45-D53</f>
        <v>273832189.84307694</v>
      </c>
      <c r="E61" s="107"/>
      <c r="F61" s="107"/>
      <c r="G61" s="133"/>
      <c r="H61" s="107"/>
      <c r="I61" s="107" t="s">
        <v>2</v>
      </c>
      <c r="J61" s="107"/>
      <c r="K61" s="133"/>
    </row>
    <row r="62" spans="1:11">
      <c r="A62" s="78">
        <v>14</v>
      </c>
      <c r="B62" s="134" t="str">
        <f>+B54</f>
        <v xml:space="preserve">  Transmission</v>
      </c>
      <c r="C62" s="52" t="str">
        <f>"(Line "&amp;A46&amp;" - Line "&amp;A54&amp;")"</f>
        <v>(Line 2 - Line 8)</v>
      </c>
      <c r="D62" s="63">
        <f>D46-D54</f>
        <v>111641317.25381936</v>
      </c>
      <c r="E62" s="107"/>
      <c r="F62" s="107"/>
      <c r="G62" s="130"/>
      <c r="H62" s="107"/>
      <c r="I62" s="63">
        <f>I46-I54</f>
        <v>104972881.78244559</v>
      </c>
      <c r="J62" s="107"/>
      <c r="K62" s="133"/>
    </row>
    <row r="63" spans="1:11">
      <c r="A63" s="78">
        <v>15</v>
      </c>
      <c r="B63" s="134" t="str">
        <f>+B55</f>
        <v xml:space="preserve">  Distribution</v>
      </c>
      <c r="C63" s="52" t="str">
        <f>"(Line "&amp;A47&amp;" - Line "&amp;A55&amp;")"</f>
        <v>(Line 3 - Line 9)</v>
      </c>
      <c r="D63" s="63">
        <f>D47-D55</f>
        <v>195442984.20046222</v>
      </c>
      <c r="E63" s="107"/>
      <c r="F63" s="107"/>
      <c r="G63" s="133"/>
      <c r="H63" s="107"/>
      <c r="I63" s="63" t="s">
        <v>2</v>
      </c>
      <c r="J63" s="107"/>
      <c r="K63" s="133"/>
    </row>
    <row r="64" spans="1:11">
      <c r="A64" s="78">
        <v>16</v>
      </c>
      <c r="B64" s="134" t="str">
        <f>+B56</f>
        <v xml:space="preserve">  General &amp; Intangible</v>
      </c>
      <c r="C64" s="52" t="str">
        <f>"(Line "&amp;A48&amp;" - Line "&amp;A56&amp;")"</f>
        <v>(Line 4 - Line 10)</v>
      </c>
      <c r="D64" s="63">
        <f>D48-D56</f>
        <v>16051088.860569114</v>
      </c>
      <c r="E64" s="107"/>
      <c r="F64" s="107"/>
      <c r="G64" s="133"/>
      <c r="H64" s="107"/>
      <c r="I64" s="63">
        <f>I48-I56</f>
        <v>1341288.228740117</v>
      </c>
      <c r="J64" s="107"/>
      <c r="K64" s="133"/>
    </row>
    <row r="65" spans="1:12" ht="13.8" thickBot="1">
      <c r="A65" s="78">
        <v>17</v>
      </c>
      <c r="B65" s="134" t="str">
        <f>+B57</f>
        <v xml:space="preserve">  Common</v>
      </c>
      <c r="C65" s="52" t="str">
        <f>"(Line "&amp;A49&amp;" - Line "&amp;A57&amp;")"</f>
        <v>(Line 5 - Line 11)</v>
      </c>
      <c r="D65" s="64">
        <f>D49-D57</f>
        <v>9264935.9230769239</v>
      </c>
      <c r="E65" s="107"/>
      <c r="F65" s="107"/>
      <c r="G65" s="133"/>
      <c r="H65" s="107"/>
      <c r="I65" s="59">
        <f>I49-I57</f>
        <v>758837.12727468426</v>
      </c>
      <c r="J65" s="107"/>
      <c r="K65" s="133"/>
    </row>
    <row r="66" spans="1:12">
      <c r="A66" s="78">
        <v>18</v>
      </c>
      <c r="B66" s="71" t="s">
        <v>368</v>
      </c>
      <c r="C66" s="52" t="s">
        <v>367</v>
      </c>
      <c r="D66" s="63">
        <f>SUM(D61:D65)</f>
        <v>606232516.0810045</v>
      </c>
      <c r="E66" s="107"/>
      <c r="F66" s="107" t="s">
        <v>34</v>
      </c>
      <c r="G66" s="114">
        <f>IF(I66&gt;0,I66/D66,0)</f>
        <v>0.17662036314157939</v>
      </c>
      <c r="H66" s="107"/>
      <c r="I66" s="184">
        <f>SUM(I61:I65)</f>
        <v>107073007.13846038</v>
      </c>
      <c r="J66" s="107"/>
      <c r="K66" s="107"/>
    </row>
    <row r="67" spans="1:12" s="2" customFormat="1">
      <c r="A67" s="53"/>
      <c r="B67" s="54"/>
      <c r="C67" s="52"/>
      <c r="D67" s="55"/>
      <c r="E67" s="51"/>
      <c r="F67" s="51"/>
      <c r="G67" s="56"/>
      <c r="H67" s="51"/>
      <c r="I67" s="63"/>
      <c r="J67" s="52"/>
      <c r="K67" s="52"/>
    </row>
    <row r="68" spans="1:12" s="2" customFormat="1">
      <c r="A68" s="53" t="s">
        <v>369</v>
      </c>
      <c r="B68" s="57" t="s">
        <v>370</v>
      </c>
      <c r="C68" s="58" t="s">
        <v>1116</v>
      </c>
      <c r="D68" s="174">
        <f>'A4-Rate Base'!H23</f>
        <v>0</v>
      </c>
      <c r="E68" s="58"/>
      <c r="F68" s="73"/>
      <c r="G68" s="687"/>
      <c r="H68" s="58"/>
      <c r="I68" s="60">
        <f>+G68*D68</f>
        <v>0</v>
      </c>
      <c r="J68" s="52"/>
      <c r="K68" s="52"/>
      <c r="L68" s="421"/>
    </row>
    <row r="69" spans="1:12" s="2" customFormat="1">
      <c r="A69" s="53"/>
      <c r="B69" s="61"/>
      <c r="C69" s="52"/>
      <c r="D69" s="55"/>
      <c r="E69" s="52"/>
      <c r="F69" s="61"/>
      <c r="G69" s="61"/>
      <c r="H69" s="52"/>
      <c r="I69" s="55"/>
      <c r="J69" s="52"/>
      <c r="K69" s="62"/>
    </row>
    <row r="70" spans="1:12">
      <c r="A70" s="78"/>
      <c r="B70" s="71" t="s">
        <v>746</v>
      </c>
      <c r="C70" s="107"/>
      <c r="D70" s="107"/>
      <c r="E70" s="107"/>
      <c r="F70" s="107"/>
      <c r="G70" s="107"/>
      <c r="H70" s="107"/>
      <c r="I70" s="107"/>
      <c r="J70" s="107"/>
      <c r="K70" s="107"/>
    </row>
    <row r="71" spans="1:12">
      <c r="A71" s="53">
        <f>+A66+1</f>
        <v>19</v>
      </c>
      <c r="B71" s="54" t="s">
        <v>1091</v>
      </c>
      <c r="C71" s="52" t="s">
        <v>668</v>
      </c>
      <c r="D71" s="174">
        <f>'A4-Rate Base'!E70</f>
        <v>0</v>
      </c>
      <c r="E71" s="52"/>
      <c r="F71" s="103" t="s">
        <v>37</v>
      </c>
      <c r="G71" s="65">
        <f>GP</f>
        <v>0.15020657762011552</v>
      </c>
      <c r="H71" s="51"/>
      <c r="I71" s="55">
        <f t="shared" ref="I71:I77" si="2">D71*G71</f>
        <v>0</v>
      </c>
      <c r="J71" s="107"/>
      <c r="K71" s="133"/>
    </row>
    <row r="72" spans="1:12">
      <c r="A72" s="53">
        <f t="shared" ref="A72:A75" si="3">+A71+1</f>
        <v>20</v>
      </c>
      <c r="B72" s="54" t="s">
        <v>1093</v>
      </c>
      <c r="C72" s="52" t="s">
        <v>669</v>
      </c>
      <c r="D72" s="174">
        <f>'A4-Rate Base'!F70</f>
        <v>-76811039.845502257</v>
      </c>
      <c r="E72" s="52"/>
      <c r="F72" s="103" t="s">
        <v>37</v>
      </c>
      <c r="G72" s="65">
        <f>GP</f>
        <v>0.15020657762011552</v>
      </c>
      <c r="H72" s="51"/>
      <c r="I72" s="55">
        <f t="shared" si="2"/>
        <v>-11537523.418635221</v>
      </c>
      <c r="J72" s="107"/>
      <c r="K72" s="133"/>
    </row>
    <row r="73" spans="1:12">
      <c r="A73" s="53">
        <f t="shared" si="3"/>
        <v>21</v>
      </c>
      <c r="B73" s="54" t="s">
        <v>1092</v>
      </c>
      <c r="C73" s="52" t="s">
        <v>670</v>
      </c>
      <c r="D73" s="174">
        <f>'A4-Rate Base'!G70</f>
        <v>-4073310.5</v>
      </c>
      <c r="E73" s="52"/>
      <c r="F73" s="103" t="s">
        <v>37</v>
      </c>
      <c r="G73" s="65">
        <f>GP</f>
        <v>0.15020657762011552</v>
      </c>
      <c r="H73" s="51"/>
      <c r="I73" s="55">
        <f t="shared" si="2"/>
        <v>-611838.02978908154</v>
      </c>
      <c r="J73" s="107"/>
      <c r="K73" s="133"/>
    </row>
    <row r="74" spans="1:12">
      <c r="A74" s="53">
        <f t="shared" si="3"/>
        <v>22</v>
      </c>
      <c r="B74" s="54" t="s">
        <v>136</v>
      </c>
      <c r="C74" s="52" t="s">
        <v>671</v>
      </c>
      <c r="D74" s="174">
        <f>'A4-Rate Base'!H70</f>
        <v>26731421</v>
      </c>
      <c r="E74" s="52"/>
      <c r="F74" s="103" t="s">
        <v>37</v>
      </c>
      <c r="G74" s="65">
        <f>GP</f>
        <v>0.15020657762011552</v>
      </c>
      <c r="H74" s="51"/>
      <c r="I74" s="55">
        <f t="shared" si="2"/>
        <v>4015235.2633324862</v>
      </c>
      <c r="J74" s="107"/>
      <c r="K74" s="133"/>
    </row>
    <row r="75" spans="1:12">
      <c r="A75" s="53">
        <f t="shared" si="3"/>
        <v>23</v>
      </c>
      <c r="B75" s="61" t="s">
        <v>997</v>
      </c>
      <c r="C75" s="61" t="s">
        <v>1024</v>
      </c>
      <c r="D75" s="545">
        <v>0</v>
      </c>
      <c r="E75" s="52"/>
      <c r="F75" s="52"/>
      <c r="G75" s="66">
        <v>0</v>
      </c>
      <c r="H75" s="51"/>
      <c r="I75" s="60">
        <f t="shared" si="2"/>
        <v>0</v>
      </c>
      <c r="J75" s="107"/>
      <c r="K75" s="133"/>
    </row>
    <row r="76" spans="1:12">
      <c r="A76" s="53" t="s">
        <v>375</v>
      </c>
      <c r="B76" s="57" t="s">
        <v>371</v>
      </c>
      <c r="C76" s="58" t="s">
        <v>1026</v>
      </c>
      <c r="D76" s="174">
        <f>'A4-Rate Base'!C70</f>
        <v>0</v>
      </c>
      <c r="E76" s="58"/>
      <c r="F76" s="73"/>
      <c r="G76" s="687"/>
      <c r="H76" s="58"/>
      <c r="I76" s="60">
        <f t="shared" si="2"/>
        <v>0</v>
      </c>
      <c r="J76" s="107"/>
      <c r="K76" s="133"/>
      <c r="L76" s="421"/>
    </row>
    <row r="77" spans="1:12">
      <c r="A77" s="53" t="s">
        <v>376</v>
      </c>
      <c r="B77" s="57" t="s">
        <v>372</v>
      </c>
      <c r="C77" s="58" t="s">
        <v>1027</v>
      </c>
      <c r="D77" s="174">
        <f>'A4-Rate Base'!D70</f>
        <v>0</v>
      </c>
      <c r="E77" s="58"/>
      <c r="F77" s="73"/>
      <c r="G77" s="687"/>
      <c r="H77" s="58"/>
      <c r="I77" s="60">
        <f t="shared" si="2"/>
        <v>0</v>
      </c>
      <c r="J77" s="107"/>
      <c r="K77" s="133"/>
      <c r="L77" s="421"/>
    </row>
    <row r="78" spans="1:12">
      <c r="A78" s="53" t="s">
        <v>377</v>
      </c>
      <c r="B78" s="57" t="s">
        <v>919</v>
      </c>
      <c r="C78" s="58" t="s">
        <v>933</v>
      </c>
      <c r="D78" s="174">
        <f>'A4-Rate Base'!I82</f>
        <v>0</v>
      </c>
      <c r="E78" s="58"/>
      <c r="F78" s="58"/>
      <c r="G78" s="67"/>
      <c r="H78" s="58"/>
      <c r="I78" s="60">
        <f t="shared" ref="I78" si="4">D78</f>
        <v>0</v>
      </c>
      <c r="J78" s="107"/>
      <c r="K78" s="133"/>
    </row>
    <row r="79" spans="1:12">
      <c r="A79" s="53">
        <v>24</v>
      </c>
      <c r="B79" s="134" t="s">
        <v>137</v>
      </c>
      <c r="C79" s="134" t="s">
        <v>1025</v>
      </c>
      <c r="D79" s="174">
        <f>'A3-ADIT'!F24</f>
        <v>172054.47</v>
      </c>
      <c r="E79" s="107"/>
      <c r="F79" s="103" t="s">
        <v>37</v>
      </c>
      <c r="G79" s="65">
        <f>GP</f>
        <v>0.15020657762011552</v>
      </c>
      <c r="H79" s="107"/>
      <c r="I79" s="60">
        <f t="shared" ref="I79" si="5">D79*G79</f>
        <v>25843.713102942838</v>
      </c>
      <c r="J79" s="107"/>
      <c r="K79" s="133"/>
    </row>
    <row r="80" spans="1:12" ht="13.8" thickBot="1">
      <c r="A80" s="78">
        <v>25</v>
      </c>
      <c r="B80" s="134" t="s">
        <v>1201</v>
      </c>
      <c r="C80" s="134" t="s">
        <v>1088</v>
      </c>
      <c r="D80" s="690">
        <f>'A3-ADIT'!I34</f>
        <v>-2856668.5458748089</v>
      </c>
      <c r="E80" s="107"/>
      <c r="F80" s="107"/>
      <c r="G80" s="107"/>
      <c r="H80" s="107"/>
      <c r="I80" s="64">
        <f>D80</f>
        <v>-2856668.5458748089</v>
      </c>
      <c r="J80" s="107"/>
      <c r="K80" s="133"/>
    </row>
    <row r="81" spans="1:11">
      <c r="A81" s="78">
        <v>26</v>
      </c>
      <c r="B81" s="71" t="s">
        <v>380</v>
      </c>
      <c r="C81" s="52" t="s">
        <v>1070</v>
      </c>
      <c r="D81" s="63">
        <f>SUM(D71:D80)</f>
        <v>-56837543.42137707</v>
      </c>
      <c r="E81" s="107"/>
      <c r="F81" s="107"/>
      <c r="G81" s="107"/>
      <c r="H81" s="107"/>
      <c r="I81" s="63">
        <f>SUM(I71:I80)</f>
        <v>-10964951.017863682</v>
      </c>
      <c r="J81" s="107"/>
      <c r="K81" s="107"/>
    </row>
    <row r="82" spans="1:11">
      <c r="A82" s="78"/>
      <c r="C82" s="107"/>
      <c r="E82" s="107"/>
      <c r="F82" s="107"/>
      <c r="G82" s="133"/>
      <c r="H82" s="107"/>
      <c r="J82" s="107"/>
      <c r="K82" s="133"/>
    </row>
    <row r="83" spans="1:11">
      <c r="A83" s="78">
        <v>27</v>
      </c>
      <c r="B83" s="71" t="s">
        <v>35</v>
      </c>
      <c r="C83" s="69" t="s">
        <v>672</v>
      </c>
      <c r="D83" s="174">
        <f>'A4-Rate Base'!I23</f>
        <v>318000</v>
      </c>
      <c r="E83" s="107"/>
      <c r="F83" s="115" t="str">
        <f>+F54</f>
        <v>TP</v>
      </c>
      <c r="G83" s="114">
        <f>$I$174</f>
        <v>0.94026910793059781</v>
      </c>
      <c r="H83" s="107"/>
      <c r="I83" s="63">
        <f>+G83*D83</f>
        <v>299005.5763219301</v>
      </c>
      <c r="J83" s="107"/>
      <c r="K83" s="107"/>
    </row>
    <row r="84" spans="1:11">
      <c r="A84" s="78"/>
      <c r="B84" s="71"/>
      <c r="C84" s="107"/>
      <c r="D84" s="107"/>
      <c r="E84" s="107"/>
      <c r="F84" s="107"/>
      <c r="G84" s="107"/>
      <c r="H84" s="107"/>
      <c r="I84" s="107"/>
      <c r="J84" s="107"/>
      <c r="K84" s="107"/>
    </row>
    <row r="85" spans="1:11">
      <c r="A85" s="78"/>
      <c r="B85" s="71" t="s">
        <v>142</v>
      </c>
      <c r="C85" s="52" t="s">
        <v>132</v>
      </c>
      <c r="D85" s="107"/>
      <c r="E85" s="107"/>
      <c r="F85" s="107"/>
      <c r="G85" s="107"/>
      <c r="H85" s="107"/>
      <c r="I85" s="107"/>
      <c r="J85" s="107"/>
      <c r="K85" s="107"/>
    </row>
    <row r="86" spans="1:11">
      <c r="A86" s="78">
        <v>28</v>
      </c>
      <c r="B86" s="71" t="s">
        <v>929</v>
      </c>
      <c r="C86" s="61" t="s">
        <v>625</v>
      </c>
      <c r="D86" s="63">
        <f>+D116/8</f>
        <v>2170845.2760291663</v>
      </c>
      <c r="E86" s="107"/>
      <c r="F86" s="107"/>
      <c r="G86" s="133"/>
      <c r="H86" s="107"/>
      <c r="I86" s="63">
        <f>+I116/8</f>
        <v>275923.44238621468</v>
      </c>
      <c r="J86" s="71"/>
      <c r="K86" s="133"/>
    </row>
    <row r="87" spans="1:11">
      <c r="A87" s="78">
        <v>29</v>
      </c>
      <c r="B87" s="71" t="s">
        <v>143</v>
      </c>
      <c r="C87" s="69" t="s">
        <v>981</v>
      </c>
      <c r="D87" s="174">
        <f>'A4-Rate Base'!F107</f>
        <v>103929.3943081568</v>
      </c>
      <c r="E87" s="107"/>
      <c r="F87" s="107" t="s">
        <v>36</v>
      </c>
      <c r="G87" s="131">
        <f>$I$183</f>
        <v>0.92633363274835367</v>
      </c>
      <c r="H87" s="107"/>
      <c r="I87" s="63">
        <f>+G87*D87</f>
        <v>96273.293378810966</v>
      </c>
      <c r="J87" s="107" t="s">
        <v>2</v>
      </c>
      <c r="K87" s="133"/>
    </row>
    <row r="88" spans="1:11" ht="13.8" thickBot="1">
      <c r="A88" s="78">
        <v>30</v>
      </c>
      <c r="B88" s="71" t="s">
        <v>138</v>
      </c>
      <c r="C88" s="51" t="s">
        <v>1089</v>
      </c>
      <c r="D88" s="174">
        <f>'A8-Prepmts'!H33</f>
        <v>133945.9922646902</v>
      </c>
      <c r="E88" s="107"/>
      <c r="F88" s="107"/>
      <c r="G88" s="131"/>
      <c r="H88" s="107"/>
      <c r="I88" s="64">
        <f>D88</f>
        <v>133945.9922646902</v>
      </c>
      <c r="J88" s="107"/>
      <c r="K88" s="133"/>
    </row>
    <row r="89" spans="1:11">
      <c r="A89" s="78">
        <v>31</v>
      </c>
      <c r="B89" s="71" t="s">
        <v>378</v>
      </c>
      <c r="C89" s="52" t="s">
        <v>379</v>
      </c>
      <c r="D89" s="184">
        <f>D86+D87+D88</f>
        <v>2408720.6626020134</v>
      </c>
      <c r="E89" s="71"/>
      <c r="F89" s="71"/>
      <c r="G89" s="71"/>
      <c r="H89" s="71"/>
      <c r="I89" s="63">
        <f>I86+I87+I88</f>
        <v>506142.72802971583</v>
      </c>
      <c r="J89" s="71"/>
      <c r="K89" s="71"/>
    </row>
    <row r="90" spans="1:11" ht="13.8" thickBot="1">
      <c r="C90" s="107"/>
      <c r="E90" s="107"/>
      <c r="F90" s="107"/>
      <c r="G90" s="107"/>
      <c r="H90" s="107"/>
      <c r="I90" s="135"/>
      <c r="J90" s="107"/>
      <c r="K90" s="107"/>
    </row>
    <row r="91" spans="1:11" ht="13.8" thickBot="1">
      <c r="A91" s="78">
        <v>32</v>
      </c>
      <c r="B91" s="71" t="s">
        <v>571</v>
      </c>
      <c r="C91" s="71" t="s">
        <v>572</v>
      </c>
      <c r="D91" s="70">
        <f>+D89+D83+D81+D66</f>
        <v>552121693.32222939</v>
      </c>
      <c r="E91" s="107"/>
      <c r="F91" s="107"/>
      <c r="G91" s="133"/>
      <c r="H91" s="107"/>
      <c r="I91" s="70">
        <f>+I89+I83+I81+I66</f>
        <v>96913204.42494835</v>
      </c>
      <c r="J91" s="107"/>
      <c r="K91" s="133"/>
    </row>
    <row r="92" spans="1:11" ht="13.8" thickTop="1">
      <c r="B92" s="71"/>
      <c r="C92" s="71"/>
      <c r="D92" s="104"/>
      <c r="E92" s="71"/>
      <c r="F92" s="71"/>
      <c r="G92" s="71"/>
      <c r="H92" s="71"/>
      <c r="I92" s="105"/>
      <c r="J92" s="105"/>
      <c r="K92" s="105"/>
    </row>
    <row r="93" spans="1:11">
      <c r="B93" s="71"/>
      <c r="C93" s="71"/>
      <c r="D93" s="104"/>
      <c r="E93" s="71"/>
      <c r="F93" s="71"/>
      <c r="G93" s="71"/>
      <c r="H93" s="71"/>
      <c r="I93" s="776" t="str">
        <f>I1</f>
        <v>Actual Attachment H</v>
      </c>
      <c r="J93" s="776"/>
      <c r="K93" s="776"/>
    </row>
    <row r="94" spans="1:11">
      <c r="B94" s="71"/>
      <c r="C94" s="71"/>
      <c r="D94" s="104"/>
      <c r="E94" s="71"/>
      <c r="F94" s="71"/>
      <c r="G94" s="71"/>
      <c r="H94" s="71"/>
      <c r="I94" s="71"/>
      <c r="J94" s="775" t="s">
        <v>243</v>
      </c>
      <c r="K94" s="775"/>
    </row>
    <row r="95" spans="1:11">
      <c r="B95" s="71"/>
      <c r="C95" s="71"/>
      <c r="D95" s="104"/>
      <c r="E95" s="71"/>
      <c r="F95" s="71"/>
      <c r="G95" s="71"/>
      <c r="H95" s="71"/>
      <c r="I95" s="71"/>
      <c r="J95" s="71"/>
      <c r="K95" s="105"/>
    </row>
    <row r="96" spans="1:11">
      <c r="B96" s="104" t="s">
        <v>0</v>
      </c>
      <c r="C96" s="71"/>
      <c r="D96" s="78" t="s">
        <v>1</v>
      </c>
      <c r="E96" s="71"/>
      <c r="F96" s="71"/>
      <c r="G96" s="71"/>
      <c r="H96" s="71"/>
      <c r="I96" s="71"/>
      <c r="J96" s="71"/>
      <c r="K96" s="121" t="str">
        <f>K4</f>
        <v>Actuals - For the 12 months ended 12/31/2023</v>
      </c>
    </row>
    <row r="97" spans="1:13">
      <c r="B97" s="71"/>
      <c r="C97" s="107"/>
      <c r="D97" s="108" t="s">
        <v>3</v>
      </c>
      <c r="E97" s="107"/>
      <c r="F97" s="107"/>
      <c r="G97" s="107"/>
      <c r="H97" s="71"/>
      <c r="I97" s="71"/>
      <c r="J97" s="71"/>
      <c r="K97" s="71"/>
    </row>
    <row r="98" spans="1:13">
      <c r="B98" s="71"/>
      <c r="C98" s="107"/>
      <c r="D98" s="107"/>
      <c r="E98" s="107"/>
      <c r="F98" s="107"/>
      <c r="G98" s="107"/>
      <c r="H98" s="71"/>
      <c r="I98" s="71"/>
      <c r="J98" s="71"/>
      <c r="K98" s="71"/>
    </row>
    <row r="99" spans="1:13">
      <c r="A99" s="78"/>
      <c r="D99" s="122" t="str">
        <f>C7</f>
        <v>Cheyenne Light, Fuel &amp; Power</v>
      </c>
      <c r="J99" s="107"/>
      <c r="K99" s="107"/>
    </row>
    <row r="100" spans="1:13">
      <c r="A100" s="78"/>
      <c r="D100" s="136"/>
      <c r="J100" s="107"/>
      <c r="K100" s="107"/>
    </row>
    <row r="101" spans="1:13">
      <c r="A101" s="78"/>
      <c r="B101" s="78" t="s">
        <v>15</v>
      </c>
      <c r="C101" s="78" t="s">
        <v>16</v>
      </c>
      <c r="D101" s="78" t="s">
        <v>17</v>
      </c>
      <c r="E101" s="107" t="s">
        <v>2</v>
      </c>
      <c r="F101" s="107"/>
      <c r="G101" s="123" t="s">
        <v>18</v>
      </c>
      <c r="H101" s="107"/>
      <c r="I101" s="124" t="s">
        <v>19</v>
      </c>
      <c r="J101" s="107"/>
      <c r="K101" s="107"/>
    </row>
    <row r="102" spans="1:13">
      <c r="A102" s="78" t="s">
        <v>4</v>
      </c>
      <c r="B102" s="71"/>
      <c r="C102" s="125" t="s">
        <v>20</v>
      </c>
      <c r="D102" s="107"/>
      <c r="E102" s="107"/>
      <c r="F102" s="107"/>
      <c r="G102" s="78"/>
      <c r="H102" s="107"/>
      <c r="I102" s="126" t="s">
        <v>21</v>
      </c>
      <c r="J102" s="107"/>
      <c r="K102" s="126"/>
    </row>
    <row r="103" spans="1:13" ht="13.8" thickBot="1">
      <c r="A103" s="111" t="s">
        <v>6</v>
      </c>
      <c r="B103" s="71"/>
      <c r="C103" s="127" t="s">
        <v>22</v>
      </c>
      <c r="D103" s="126" t="s">
        <v>23</v>
      </c>
      <c r="E103" s="128"/>
      <c r="F103" s="126" t="s">
        <v>24</v>
      </c>
      <c r="H103" s="128"/>
      <c r="I103" s="78" t="s">
        <v>25</v>
      </c>
      <c r="J103" s="107"/>
      <c r="K103" s="126"/>
    </row>
    <row r="104" spans="1:13">
      <c r="A104" s="78"/>
      <c r="B104" s="71" t="s">
        <v>146</v>
      </c>
      <c r="C104" s="107"/>
      <c r="D104" s="107"/>
      <c r="E104" s="107"/>
      <c r="F104" s="107"/>
      <c r="G104" s="107"/>
      <c r="H104" s="107"/>
      <c r="I104" s="107"/>
      <c r="J104" s="107"/>
      <c r="K104" s="107"/>
    </row>
    <row r="105" spans="1:13">
      <c r="A105" s="78">
        <v>1</v>
      </c>
      <c r="B105" s="71" t="s">
        <v>38</v>
      </c>
      <c r="C105" s="107" t="s">
        <v>113</v>
      </c>
      <c r="D105" s="73">
        <v>23538853</v>
      </c>
      <c r="E105" s="107"/>
      <c r="F105" s="107" t="s">
        <v>36</v>
      </c>
      <c r="G105" s="131">
        <f>$I$183</f>
        <v>0.92633363274835367</v>
      </c>
      <c r="H105" s="107"/>
      <c r="I105" s="63">
        <f>+G105*D105</f>
        <v>21804831.210219484</v>
      </c>
      <c r="J105" s="71"/>
      <c r="K105" s="107"/>
      <c r="L105" s="421"/>
    </row>
    <row r="106" spans="1:13">
      <c r="A106" s="78">
        <v>2</v>
      </c>
      <c r="B106" s="71" t="s">
        <v>785</v>
      </c>
      <c r="C106" s="107" t="s">
        <v>786</v>
      </c>
      <c r="D106" s="73">
        <f>0+296541+52322</f>
        <v>348863</v>
      </c>
      <c r="E106" s="107"/>
      <c r="F106" s="107" t="s">
        <v>36</v>
      </c>
      <c r="G106" s="131">
        <f>$I$183</f>
        <v>0.92633363274835367</v>
      </c>
      <c r="H106" s="107"/>
      <c r="I106" s="55">
        <f t="shared" ref="I106:I115" si="6">+G106*D106</f>
        <v>323163.5301214889</v>
      </c>
      <c r="J106" s="71"/>
      <c r="K106" s="107"/>
      <c r="L106" s="421"/>
      <c r="M106" s="107"/>
    </row>
    <row r="107" spans="1:13">
      <c r="A107" s="78" t="s">
        <v>145</v>
      </c>
      <c r="B107" s="71" t="s">
        <v>39</v>
      </c>
      <c r="C107" s="107" t="s">
        <v>114</v>
      </c>
      <c r="D107" s="73">
        <v>22292762</v>
      </c>
      <c r="E107" s="107"/>
      <c r="F107" s="107" t="s">
        <v>36</v>
      </c>
      <c r="G107" s="131">
        <f>$I$183</f>
        <v>0.92633363274835367</v>
      </c>
      <c r="H107" s="107"/>
      <c r="I107" s="55">
        <f t="shared" ref="I107" si="7">+G107*D107</f>
        <v>20650535.207454454</v>
      </c>
      <c r="J107" s="71"/>
      <c r="K107" s="107"/>
      <c r="L107" s="421"/>
      <c r="M107" s="107"/>
    </row>
    <row r="108" spans="1:13">
      <c r="A108" s="78">
        <v>3</v>
      </c>
      <c r="B108" s="71" t="s">
        <v>40</v>
      </c>
      <c r="C108" s="107" t="s">
        <v>115</v>
      </c>
      <c r="D108" s="73">
        <v>18068066</v>
      </c>
      <c r="E108" s="107"/>
      <c r="F108" s="107" t="s">
        <v>31</v>
      </c>
      <c r="G108" s="131">
        <f>$I$191</f>
        <v>8.3563690936576104E-2</v>
      </c>
      <c r="H108" s="107"/>
      <c r="I108" s="63">
        <f t="shared" si="6"/>
        <v>1509834.2830456588</v>
      </c>
      <c r="J108" s="107"/>
      <c r="K108" s="107" t="s">
        <v>2</v>
      </c>
      <c r="L108" s="421"/>
      <c r="M108" s="107"/>
    </row>
    <row r="109" spans="1:13">
      <c r="A109" s="78">
        <v>4</v>
      </c>
      <c r="B109" s="71" t="s">
        <v>1217</v>
      </c>
      <c r="C109" s="107"/>
      <c r="D109" s="107"/>
      <c r="E109" s="107"/>
      <c r="F109" s="115"/>
      <c r="G109" s="131"/>
      <c r="H109" s="107"/>
      <c r="I109" s="63"/>
      <c r="J109" s="107"/>
      <c r="K109" s="107"/>
    </row>
    <row r="110" spans="1:13">
      <c r="A110" s="78">
        <v>5</v>
      </c>
      <c r="B110" s="71" t="s">
        <v>465</v>
      </c>
      <c r="C110" s="107" t="s">
        <v>651</v>
      </c>
      <c r="D110" s="174">
        <f>'A2-A&amp;G'!D14</f>
        <v>1381404</v>
      </c>
      <c r="E110" s="107"/>
      <c r="F110" s="115" t="str">
        <f>F108</f>
        <v>W/S</v>
      </c>
      <c r="G110" s="131">
        <f>$I$191</f>
        <v>8.3563690936576104E-2</v>
      </c>
      <c r="H110" s="107"/>
      <c r="I110" s="55">
        <f t="shared" si="6"/>
        <v>115435.21691454998</v>
      </c>
      <c r="J110" s="107"/>
      <c r="K110" s="107"/>
    </row>
    <row r="111" spans="1:13">
      <c r="A111" s="78" t="s">
        <v>102</v>
      </c>
      <c r="B111" s="71" t="s">
        <v>642</v>
      </c>
      <c r="C111" s="107" t="s">
        <v>915</v>
      </c>
      <c r="D111" s="174">
        <f>'A2-A&amp;G'!D23</f>
        <v>0</v>
      </c>
      <c r="E111" s="107"/>
      <c r="F111" s="137" t="str">
        <f>+F105</f>
        <v>TE</v>
      </c>
      <c r="G111" s="131">
        <f>$I$183</f>
        <v>0.92633363274835367</v>
      </c>
      <c r="H111" s="107"/>
      <c r="I111" s="55">
        <f>+G111*D111</f>
        <v>0</v>
      </c>
      <c r="J111" s="107"/>
      <c r="K111" s="107"/>
    </row>
    <row r="112" spans="1:13">
      <c r="A112" s="78" t="s">
        <v>149</v>
      </c>
      <c r="B112" s="71" t="s">
        <v>930</v>
      </c>
      <c r="C112" s="107" t="s">
        <v>265</v>
      </c>
      <c r="D112" s="739">
        <v>371969.69050000003</v>
      </c>
      <c r="E112" s="107"/>
      <c r="F112" s="115" t="s">
        <v>31</v>
      </c>
      <c r="G112" s="131">
        <f>$I$191</f>
        <v>8.3563690936576104E-2</v>
      </c>
      <c r="H112" s="107"/>
      <c r="I112" s="60">
        <f t="shared" ref="I112:I113" si="8">+G112*D112</f>
        <v>31083.160254715869</v>
      </c>
      <c r="J112" s="107"/>
      <c r="K112" s="107"/>
      <c r="L112" s="421"/>
    </row>
    <row r="113" spans="1:14">
      <c r="A113" s="78" t="s">
        <v>150</v>
      </c>
      <c r="B113" s="71" t="s">
        <v>931</v>
      </c>
      <c r="C113" s="107" t="s">
        <v>676</v>
      </c>
      <c r="D113" s="174">
        <f>'A2-A&amp;G'!D31</f>
        <v>589097.48226666672</v>
      </c>
      <c r="E113" s="107"/>
      <c r="F113" s="115" t="str">
        <f>+F112</f>
        <v>W/S</v>
      </c>
      <c r="G113" s="131">
        <f>$I$191</f>
        <v>8.3563690936576104E-2</v>
      </c>
      <c r="H113" s="107"/>
      <c r="I113" s="60">
        <f t="shared" si="8"/>
        <v>49227.159939646859</v>
      </c>
      <c r="J113" s="107"/>
      <c r="K113" s="107"/>
    </row>
    <row r="114" spans="1:14">
      <c r="A114" s="78">
        <v>6</v>
      </c>
      <c r="B114" s="71" t="s">
        <v>32</v>
      </c>
      <c r="C114" s="594" t="s">
        <v>916</v>
      </c>
      <c r="D114" s="73">
        <v>0</v>
      </c>
      <c r="E114" s="107"/>
      <c r="F114" s="107" t="s">
        <v>67</v>
      </c>
      <c r="G114" s="131">
        <f>$K$195</f>
        <v>8.1904195946416361E-2</v>
      </c>
      <c r="H114" s="107"/>
      <c r="I114" s="63">
        <f t="shared" si="6"/>
        <v>0</v>
      </c>
      <c r="J114" s="107"/>
      <c r="K114" s="107"/>
      <c r="L114" s="421"/>
      <c r="M114" s="594"/>
    </row>
    <row r="115" spans="1:14" ht="13.8" thickBot="1">
      <c r="A115" s="78">
        <v>7</v>
      </c>
      <c r="B115" s="71" t="s">
        <v>41</v>
      </c>
      <c r="C115" s="107" t="s">
        <v>654</v>
      </c>
      <c r="D115" s="73">
        <v>0</v>
      </c>
      <c r="E115" s="107"/>
      <c r="F115" s="107" t="s">
        <v>373</v>
      </c>
      <c r="G115" s="130">
        <v>1</v>
      </c>
      <c r="H115" s="107"/>
      <c r="I115" s="64">
        <f t="shared" si="6"/>
        <v>0</v>
      </c>
      <c r="J115" s="107"/>
      <c r="K115" s="107"/>
      <c r="L115" s="421"/>
    </row>
    <row r="116" spans="1:14">
      <c r="A116" s="78">
        <v>8</v>
      </c>
      <c r="B116" s="71" t="s">
        <v>1218</v>
      </c>
      <c r="C116" s="107"/>
      <c r="D116" s="72">
        <f>+D105-D106-D107+D108-D110+D114+D115+D111+D112-D113</f>
        <v>17366762.20823333</v>
      </c>
      <c r="E116" s="107"/>
      <c r="F116" s="107"/>
      <c r="G116" s="107"/>
      <c r="H116" s="107"/>
      <c r="I116" s="72">
        <f>+I105-I106-I107+I108-I110+I114+I115+I111+I112-I113</f>
        <v>2207387.5390897174</v>
      </c>
      <c r="J116" s="107"/>
      <c r="K116" s="107"/>
    </row>
    <row r="117" spans="1:14">
      <c r="A117" s="78"/>
      <c r="C117" s="107"/>
      <c r="E117" s="107"/>
      <c r="F117" s="107"/>
      <c r="G117" s="107"/>
      <c r="H117" s="107"/>
      <c r="J117" s="107"/>
      <c r="K117" s="107"/>
    </row>
    <row r="118" spans="1:14">
      <c r="A118" s="78"/>
      <c r="B118" s="71" t="s">
        <v>474</v>
      </c>
      <c r="C118" s="107"/>
      <c r="D118" s="107"/>
      <c r="E118" s="107"/>
      <c r="F118" s="107"/>
      <c r="G118" s="107"/>
      <c r="H118" s="107"/>
      <c r="I118" s="107"/>
      <c r="J118" s="107"/>
      <c r="K118" s="107"/>
    </row>
    <row r="119" spans="1:14">
      <c r="A119" s="78">
        <v>9</v>
      </c>
      <c r="B119" s="134" t="str">
        <f>+B105</f>
        <v xml:space="preserve">  Transmission </v>
      </c>
      <c r="C119" s="107" t="s">
        <v>381</v>
      </c>
      <c r="D119" s="73">
        <v>2428293.7273397078</v>
      </c>
      <c r="E119" s="107"/>
      <c r="F119" s="107" t="s">
        <v>11</v>
      </c>
      <c r="G119" s="114">
        <f>$I$174</f>
        <v>0.94026910793059781</v>
      </c>
      <c r="H119" s="107"/>
      <c r="I119" s="63">
        <f>+G119*D119</f>
        <v>2283249.5767991734</v>
      </c>
      <c r="J119" s="107"/>
      <c r="K119" s="133"/>
      <c r="L119" s="421"/>
    </row>
    <row r="120" spans="1:14">
      <c r="A120" s="78">
        <v>10</v>
      </c>
      <c r="B120" s="71" t="s">
        <v>127</v>
      </c>
      <c r="C120" s="107" t="s">
        <v>129</v>
      </c>
      <c r="D120" s="73">
        <v>2181990.9125472084</v>
      </c>
      <c r="E120" s="107"/>
      <c r="F120" s="107" t="s">
        <v>31</v>
      </c>
      <c r="G120" s="131">
        <f>$I$191</f>
        <v>8.3563690936576104E-2</v>
      </c>
      <c r="H120" s="107"/>
      <c r="I120" s="63">
        <f>+G120*D120</f>
        <v>182335.21424251259</v>
      </c>
      <c r="J120" s="107"/>
      <c r="K120" s="133"/>
      <c r="L120" s="421"/>
      <c r="M120" s="107"/>
    </row>
    <row r="121" spans="1:14">
      <c r="A121" s="78">
        <v>11</v>
      </c>
      <c r="B121" s="134" t="str">
        <f>+B114</f>
        <v xml:space="preserve">  Common</v>
      </c>
      <c r="C121" s="107" t="s">
        <v>387</v>
      </c>
      <c r="D121" s="73">
        <v>0</v>
      </c>
      <c r="E121" s="107"/>
      <c r="F121" s="107" t="s">
        <v>67</v>
      </c>
      <c r="G121" s="131">
        <f>$K$195</f>
        <v>8.1904195946416361E-2</v>
      </c>
      <c r="H121" s="107"/>
      <c r="I121" s="63">
        <f>+G121*D121</f>
        <v>0</v>
      </c>
      <c r="J121" s="107"/>
      <c r="K121" s="133"/>
      <c r="L121" s="421"/>
      <c r="M121" s="107"/>
    </row>
    <row r="122" spans="1:14" s="2" customFormat="1" ht="13.8" thickBot="1">
      <c r="A122" s="74" t="s">
        <v>383</v>
      </c>
      <c r="B122" s="57" t="s">
        <v>389</v>
      </c>
      <c r="C122" s="75" t="s">
        <v>481</v>
      </c>
      <c r="D122" s="73">
        <v>0</v>
      </c>
      <c r="E122" s="55"/>
      <c r="F122" s="73"/>
      <c r="G122" s="687"/>
      <c r="H122" s="55"/>
      <c r="I122" s="68">
        <f>+G122*D122</f>
        <v>0</v>
      </c>
      <c r="J122" s="52"/>
      <c r="K122" s="62"/>
      <c r="L122" s="421"/>
      <c r="N122" s="421"/>
    </row>
    <row r="123" spans="1:14">
      <c r="A123" s="78">
        <v>12</v>
      </c>
      <c r="B123" s="71" t="s">
        <v>390</v>
      </c>
      <c r="C123" s="52" t="s">
        <v>391</v>
      </c>
      <c r="D123" s="72">
        <f>SUM(D119:D122)</f>
        <v>4610284.6398869157</v>
      </c>
      <c r="E123" s="107"/>
      <c r="F123" s="107"/>
      <c r="G123" s="107"/>
      <c r="H123" s="107"/>
      <c r="I123" s="63">
        <f>SUM(I119:I122)</f>
        <v>2465584.7910416862</v>
      </c>
      <c r="J123" s="107"/>
      <c r="K123" s="107"/>
    </row>
    <row r="124" spans="1:14">
      <c r="A124" s="78"/>
      <c r="B124" s="71"/>
      <c r="C124" s="107"/>
      <c r="D124" s="107"/>
      <c r="E124" s="107"/>
      <c r="F124" s="107"/>
      <c r="G124" s="107"/>
      <c r="H124" s="107"/>
      <c r="I124" s="107"/>
      <c r="J124" s="107"/>
      <c r="K124" s="107"/>
    </row>
    <row r="125" spans="1:14">
      <c r="A125" s="78" t="s">
        <v>2</v>
      </c>
      <c r="B125" s="71" t="s">
        <v>468</v>
      </c>
      <c r="D125" s="107"/>
      <c r="E125" s="107"/>
      <c r="F125" s="107"/>
      <c r="G125" s="107"/>
      <c r="H125" s="107"/>
      <c r="I125" s="107"/>
      <c r="J125" s="107"/>
      <c r="K125" s="107"/>
    </row>
    <row r="126" spans="1:14">
      <c r="A126" s="78"/>
      <c r="B126" s="71" t="s">
        <v>42</v>
      </c>
      <c r="E126" s="107"/>
      <c r="F126" s="107"/>
      <c r="H126" s="107"/>
      <c r="J126" s="107"/>
      <c r="K126" s="133"/>
    </row>
    <row r="127" spans="1:14">
      <c r="A127" s="78">
        <v>13</v>
      </c>
      <c r="B127" s="71" t="s">
        <v>43</v>
      </c>
      <c r="C127" s="107" t="s">
        <v>106</v>
      </c>
      <c r="D127" s="73">
        <f>1033167+3501+19740</f>
        <v>1056408</v>
      </c>
      <c r="E127" s="107"/>
      <c r="F127" s="107" t="s">
        <v>31</v>
      </c>
      <c r="G127" s="131">
        <f>$I$191</f>
        <v>8.3563690936576104E-2</v>
      </c>
      <c r="H127" s="107"/>
      <c r="I127" s="63">
        <f>+G127*D127</f>
        <v>88277.351614926491</v>
      </c>
      <c r="J127" s="107"/>
      <c r="K127" s="133"/>
      <c r="L127" s="421"/>
      <c r="M127" s="107"/>
    </row>
    <row r="128" spans="1:14">
      <c r="A128" s="78">
        <v>14</v>
      </c>
      <c r="B128" s="71" t="s">
        <v>44</v>
      </c>
      <c r="C128" s="115" t="str">
        <f>+C127</f>
        <v>263.i</v>
      </c>
      <c r="D128" s="73">
        <v>0</v>
      </c>
      <c r="E128" s="107"/>
      <c r="F128" s="115" t="str">
        <f>+F127</f>
        <v>W/S</v>
      </c>
      <c r="G128" s="131">
        <f>$I$191</f>
        <v>8.3563690936576104E-2</v>
      </c>
      <c r="H128" s="107"/>
      <c r="I128" s="63">
        <f>+G128*D128</f>
        <v>0</v>
      </c>
      <c r="J128" s="107"/>
      <c r="K128" s="133"/>
      <c r="L128" s="421"/>
    </row>
    <row r="129" spans="1:14">
      <c r="A129" s="78">
        <v>15</v>
      </c>
      <c r="B129" s="71" t="s">
        <v>45</v>
      </c>
      <c r="C129" s="107" t="s">
        <v>2</v>
      </c>
      <c r="E129" s="107"/>
      <c r="F129" s="107"/>
      <c r="H129" s="107"/>
      <c r="J129" s="107"/>
      <c r="K129" s="133"/>
    </row>
    <row r="130" spans="1:14">
      <c r="A130" s="78">
        <v>16</v>
      </c>
      <c r="B130" s="71" t="s">
        <v>46</v>
      </c>
      <c r="C130" s="107" t="s">
        <v>106</v>
      </c>
      <c r="D130" s="73">
        <v>2740866</v>
      </c>
      <c r="E130" s="107"/>
      <c r="F130" s="107" t="s">
        <v>37</v>
      </c>
      <c r="G130" s="131">
        <f>+$G$50</f>
        <v>0.15020657762011552</v>
      </c>
      <c r="H130" s="107"/>
      <c r="I130" s="63">
        <f>+G130*D130</f>
        <v>411696.10157533555</v>
      </c>
      <c r="J130" s="107"/>
      <c r="K130" s="133"/>
      <c r="L130" s="421"/>
      <c r="M130" s="107"/>
    </row>
    <row r="131" spans="1:14">
      <c r="A131" s="78">
        <v>17</v>
      </c>
      <c r="B131" s="71" t="s">
        <v>47</v>
      </c>
      <c r="C131" s="107" t="s">
        <v>106</v>
      </c>
      <c r="D131" s="73">
        <f>-6802+1682574</f>
        <v>1675772</v>
      </c>
      <c r="E131" s="107"/>
      <c r="F131" s="115" t="s">
        <v>27</v>
      </c>
      <c r="G131" s="138">
        <v>0</v>
      </c>
      <c r="H131" s="107"/>
      <c r="I131" s="63">
        <v>0</v>
      </c>
      <c r="J131" s="107"/>
      <c r="K131" s="133"/>
      <c r="L131" s="421"/>
      <c r="M131" s="107"/>
    </row>
    <row r="132" spans="1:14">
      <c r="A132" s="78">
        <v>18</v>
      </c>
      <c r="B132" s="71" t="s">
        <v>1119</v>
      </c>
      <c r="C132" s="115" t="str">
        <f>+C131</f>
        <v>263.i</v>
      </c>
      <c r="D132" s="73">
        <v>0</v>
      </c>
      <c r="E132" s="107"/>
      <c r="F132" s="73"/>
      <c r="G132" s="687"/>
      <c r="H132" s="107"/>
      <c r="I132" s="63">
        <f>+G132*D132</f>
        <v>0</v>
      </c>
      <c r="J132" s="107"/>
      <c r="K132" s="133"/>
      <c r="L132" s="421"/>
      <c r="N132" s="421"/>
    </row>
    <row r="133" spans="1:14" ht="13.8" thickBot="1">
      <c r="A133" s="78">
        <v>19</v>
      </c>
      <c r="B133" s="71" t="s">
        <v>1130</v>
      </c>
      <c r="C133" s="107"/>
      <c r="D133" s="175"/>
      <c r="E133" s="107"/>
      <c r="F133" s="107"/>
      <c r="G133" s="131"/>
      <c r="H133" s="107"/>
      <c r="I133" s="63"/>
      <c r="J133" s="107"/>
      <c r="K133" s="133"/>
    </row>
    <row r="134" spans="1:14">
      <c r="A134" s="78">
        <v>20</v>
      </c>
      <c r="B134" s="71" t="s">
        <v>393</v>
      </c>
      <c r="C134" s="52" t="s">
        <v>392</v>
      </c>
      <c r="D134" s="72">
        <f>SUM(D127:D133)</f>
        <v>5473046</v>
      </c>
      <c r="E134" s="107"/>
      <c r="F134" s="107"/>
      <c r="G134" s="118"/>
      <c r="H134" s="107"/>
      <c r="I134" s="72">
        <f>SUM(I127:I133)</f>
        <v>499973.45319026202</v>
      </c>
      <c r="J134" s="107"/>
      <c r="K134" s="107"/>
    </row>
    <row r="135" spans="1:14">
      <c r="A135" s="78"/>
      <c r="B135" s="71"/>
      <c r="C135" s="107"/>
      <c r="D135" s="107"/>
      <c r="E135" s="107"/>
      <c r="F135" s="107"/>
      <c r="G135" s="118"/>
      <c r="H135" s="107"/>
      <c r="I135" s="107"/>
      <c r="J135" s="107"/>
      <c r="K135" s="107"/>
    </row>
    <row r="136" spans="1:14">
      <c r="A136" s="78" t="s">
        <v>2</v>
      </c>
      <c r="B136" s="71" t="s">
        <v>49</v>
      </c>
      <c r="C136" s="107" t="s">
        <v>466</v>
      </c>
      <c r="D136" s="107"/>
      <c r="E136" s="107"/>
      <c r="G136" s="139"/>
      <c r="H136" s="107"/>
      <c r="J136" s="107"/>
    </row>
    <row r="137" spans="1:14">
      <c r="A137" s="78">
        <v>21</v>
      </c>
      <c r="B137" s="140" t="s">
        <v>98</v>
      </c>
      <c r="C137" s="107"/>
      <c r="D137" s="141">
        <f>IF(D243&gt;0,1-(((1-D244)*(1-D243))/(1-D244*D243*D245)),0)</f>
        <v>0.20999999999999996</v>
      </c>
      <c r="E137" s="107"/>
      <c r="G137" s="139"/>
      <c r="H137" s="107"/>
      <c r="J137" s="107"/>
    </row>
    <row r="138" spans="1:14">
      <c r="A138" s="78">
        <v>22</v>
      </c>
      <c r="B138" s="103" t="s">
        <v>946</v>
      </c>
      <c r="C138" s="107"/>
      <c r="D138" s="141">
        <f>IF(I215&gt;0,(D137/(1-D137))*(1-I212/I215),0)</f>
        <v>0.15118691203678036</v>
      </c>
      <c r="E138" s="107"/>
      <c r="G138" s="139"/>
      <c r="H138" s="107"/>
      <c r="J138" s="107"/>
    </row>
    <row r="139" spans="1:14">
      <c r="A139" s="78"/>
      <c r="B139" s="71" t="s">
        <v>148</v>
      </c>
      <c r="C139" s="107"/>
      <c r="D139" s="107"/>
      <c r="E139" s="107"/>
      <c r="G139" s="139"/>
      <c r="H139" s="107"/>
      <c r="J139" s="107"/>
    </row>
    <row r="140" spans="1:14">
      <c r="A140" s="78"/>
      <c r="B140" s="71" t="s">
        <v>638</v>
      </c>
      <c r="C140" s="107"/>
      <c r="D140" s="107"/>
      <c r="E140" s="107"/>
      <c r="G140" s="139"/>
      <c r="H140" s="107"/>
      <c r="J140" s="107"/>
    </row>
    <row r="141" spans="1:14">
      <c r="A141" s="78">
        <v>23</v>
      </c>
      <c r="B141" s="140" t="s">
        <v>99</v>
      </c>
      <c r="C141" s="107"/>
      <c r="D141" s="385">
        <f>IF(D137&gt;0,1/(1-D137),0)</f>
        <v>1.2658227848101264</v>
      </c>
      <c r="E141" s="107"/>
      <c r="G141" s="139"/>
      <c r="H141" s="107"/>
      <c r="J141" s="107"/>
    </row>
    <row r="142" spans="1:14">
      <c r="A142" s="78">
        <v>24</v>
      </c>
      <c r="B142" s="71" t="s">
        <v>944</v>
      </c>
      <c r="C142" s="107" t="s">
        <v>386</v>
      </c>
      <c r="D142" s="73">
        <v>68</v>
      </c>
      <c r="E142" s="107"/>
      <c r="G142" s="139"/>
      <c r="H142" s="107"/>
      <c r="J142" s="107"/>
      <c r="L142" s="421"/>
      <c r="M142" s="107"/>
    </row>
    <row r="143" spans="1:14" ht="15">
      <c r="A143" s="78" t="s">
        <v>384</v>
      </c>
      <c r="B143" s="54" t="s">
        <v>1199</v>
      </c>
      <c r="C143" s="134" t="s">
        <v>1138</v>
      </c>
      <c r="D143" s="174">
        <f>'A4-Rate Base'!G113</f>
        <v>124421.49966</v>
      </c>
      <c r="E143" s="107"/>
      <c r="G143" s="139"/>
      <c r="H143" s="107"/>
      <c r="J143" s="107"/>
      <c r="L143"/>
    </row>
    <row r="144" spans="1:14" ht="15">
      <c r="A144" s="78" t="s">
        <v>831</v>
      </c>
      <c r="B144" s="54" t="s">
        <v>1200</v>
      </c>
      <c r="C144" s="52" t="s">
        <v>1170</v>
      </c>
      <c r="D144" s="174">
        <f>'A9-PermDiffs'!G17</f>
        <v>14389.576959070824</v>
      </c>
      <c r="E144" s="107"/>
      <c r="G144" s="139"/>
      <c r="H144" s="107"/>
      <c r="J144" s="107"/>
      <c r="L144"/>
    </row>
    <row r="145" spans="1:12" ht="15">
      <c r="A145" s="78" t="s">
        <v>385</v>
      </c>
      <c r="B145" s="54" t="s">
        <v>382</v>
      </c>
      <c r="C145" s="52" t="s">
        <v>949</v>
      </c>
      <c r="D145" s="63">
        <f>D144*D137</f>
        <v>3021.8111614048726</v>
      </c>
      <c r="E145" s="107"/>
      <c r="G145" s="139"/>
      <c r="H145" s="107"/>
      <c r="J145" s="107"/>
      <c r="L145"/>
    </row>
    <row r="146" spans="1:12" ht="15">
      <c r="A146" s="78">
        <v>25</v>
      </c>
      <c r="B146" s="140" t="s">
        <v>396</v>
      </c>
      <c r="C146" s="142" t="s">
        <v>394</v>
      </c>
      <c r="D146" s="63">
        <f>D138*D153</f>
        <v>6603529.0401675003</v>
      </c>
      <c r="E146" s="107"/>
      <c r="F146" s="107"/>
      <c r="G146" s="118"/>
      <c r="H146" s="107"/>
      <c r="I146" s="63">
        <f>D138*I153</f>
        <v>1159108.884030639</v>
      </c>
      <c r="J146" s="107"/>
      <c r="K146" s="143" t="s">
        <v>2</v>
      </c>
      <c r="L146"/>
    </row>
    <row r="147" spans="1:12" ht="15">
      <c r="A147" s="78">
        <v>26</v>
      </c>
      <c r="B147" s="103" t="s">
        <v>397</v>
      </c>
      <c r="C147" s="142" t="s">
        <v>395</v>
      </c>
      <c r="D147" s="63">
        <f>D141*D142</f>
        <v>86.075949367088597</v>
      </c>
      <c r="E147" s="107"/>
      <c r="F147" s="103" t="s">
        <v>37</v>
      </c>
      <c r="G147" s="65">
        <f>GP</f>
        <v>0.15020657762011552</v>
      </c>
      <c r="H147" s="107"/>
      <c r="I147" s="63">
        <f>G147*D147</f>
        <v>12.929173769832728</v>
      </c>
      <c r="J147" s="107"/>
      <c r="K147" s="143"/>
      <c r="L147"/>
    </row>
    <row r="148" spans="1:12" ht="15">
      <c r="A148" s="78" t="s">
        <v>398</v>
      </c>
      <c r="B148" s="61" t="s">
        <v>400</v>
      </c>
      <c r="C148" s="76" t="s">
        <v>402</v>
      </c>
      <c r="D148" s="63">
        <f>D141*D143</f>
        <v>157495.56918987341</v>
      </c>
      <c r="E148" s="107"/>
      <c r="G148" s="66"/>
      <c r="H148" s="107"/>
      <c r="I148" s="63">
        <f>D148</f>
        <v>157495.56918987341</v>
      </c>
      <c r="J148" s="107"/>
      <c r="K148" s="143"/>
      <c r="L148"/>
    </row>
    <row r="149" spans="1:12" ht="15.6" thickBot="1">
      <c r="A149" s="78" t="s">
        <v>399</v>
      </c>
      <c r="B149" s="61" t="s">
        <v>401</v>
      </c>
      <c r="C149" s="76" t="s">
        <v>403</v>
      </c>
      <c r="D149" s="63">
        <f>D141*D145</f>
        <v>3825.0774194998385</v>
      </c>
      <c r="E149" s="107"/>
      <c r="G149" s="66"/>
      <c r="H149" s="107"/>
      <c r="I149" s="63">
        <f>D149</f>
        <v>3825.0774194998385</v>
      </c>
      <c r="J149" s="107"/>
      <c r="K149" s="143"/>
      <c r="L149"/>
    </row>
    <row r="150" spans="1:12" ht="15">
      <c r="A150" s="78">
        <v>27</v>
      </c>
      <c r="B150" s="140" t="s">
        <v>92</v>
      </c>
      <c r="C150" s="61" t="s">
        <v>945</v>
      </c>
      <c r="D150" s="72">
        <f>D146+D149-D147-D148</f>
        <v>6449772.4724477595</v>
      </c>
      <c r="E150" s="107"/>
      <c r="F150" s="107" t="s">
        <v>2</v>
      </c>
      <c r="G150" s="118" t="s">
        <v>2</v>
      </c>
      <c r="H150" s="107"/>
      <c r="I150" s="72">
        <f>I146+I149-I147-I148</f>
        <v>1005425.4630864955</v>
      </c>
      <c r="J150" s="107"/>
      <c r="K150" s="107"/>
      <c r="L150"/>
    </row>
    <row r="151" spans="1:12" ht="15">
      <c r="A151" s="78" t="s">
        <v>2</v>
      </c>
      <c r="C151" s="144"/>
      <c r="D151" s="107"/>
      <c r="E151" s="107"/>
      <c r="F151" s="107"/>
      <c r="G151" s="118"/>
      <c r="H151" s="107"/>
      <c r="I151" s="107"/>
      <c r="J151" s="107"/>
      <c r="K151" s="107"/>
      <c r="L151"/>
    </row>
    <row r="152" spans="1:12" ht="15">
      <c r="B152" s="71" t="s">
        <v>50</v>
      </c>
      <c r="C152" s="133"/>
      <c r="J152" s="107"/>
      <c r="L152"/>
    </row>
    <row r="153" spans="1:12">
      <c r="A153" s="78">
        <v>28</v>
      </c>
      <c r="B153" s="140" t="s">
        <v>701</v>
      </c>
      <c r="C153" s="753" t="s">
        <v>1084</v>
      </c>
      <c r="D153" s="174">
        <f>+$I215*D91+I218</f>
        <v>43677914.65018487</v>
      </c>
      <c r="E153" s="107"/>
      <c r="F153" s="107"/>
      <c r="G153" s="139"/>
      <c r="H153" s="107"/>
      <c r="I153" s="63">
        <f>+$I215*I91+I218</f>
        <v>7666727.6843954185</v>
      </c>
      <c r="J153" s="107"/>
      <c r="K153" s="133"/>
    </row>
    <row r="154" spans="1:12">
      <c r="A154" s="78"/>
      <c r="B154" s="71"/>
      <c r="D154" s="107"/>
      <c r="E154" s="107"/>
      <c r="F154" s="107"/>
      <c r="G154" s="139"/>
      <c r="H154" s="107"/>
      <c r="I154" s="107"/>
      <c r="J154" s="107"/>
      <c r="K154" s="133"/>
    </row>
    <row r="155" spans="1:12" ht="13.8" thickBot="1">
      <c r="A155" s="78">
        <v>29</v>
      </c>
      <c r="B155" s="71" t="s">
        <v>405</v>
      </c>
      <c r="C155" s="107" t="s">
        <v>404</v>
      </c>
      <c r="D155" s="77">
        <f>+D116+D123+D134+D150+D153</f>
        <v>77577779.970752865</v>
      </c>
      <c r="E155" s="107"/>
      <c r="F155" s="107"/>
      <c r="G155" s="107"/>
      <c r="H155" s="107"/>
      <c r="I155" s="77">
        <f>+I116+I123+I134+I150+I153</f>
        <v>13845098.93080358</v>
      </c>
      <c r="J155" s="71"/>
      <c r="K155" s="71"/>
    </row>
    <row r="156" spans="1:12" ht="13.8" thickTop="1">
      <c r="A156" s="78"/>
      <c r="B156" s="71"/>
      <c r="C156" s="107"/>
      <c r="D156" s="115"/>
      <c r="E156" s="107"/>
      <c r="F156" s="107"/>
      <c r="G156" s="107"/>
      <c r="H156" s="107"/>
      <c r="I156" s="115"/>
      <c r="J156" s="71"/>
      <c r="K156" s="71"/>
    </row>
    <row r="157" spans="1:12">
      <c r="B157" s="71"/>
      <c r="C157" s="71"/>
      <c r="D157" s="104"/>
      <c r="E157" s="71"/>
      <c r="F157" s="775"/>
      <c r="G157" s="775"/>
      <c r="H157" s="775"/>
      <c r="I157" s="775"/>
      <c r="J157" s="775"/>
      <c r="K157" s="775"/>
    </row>
    <row r="158" spans="1:12">
      <c r="B158" s="71"/>
      <c r="C158" s="71"/>
      <c r="D158" s="104"/>
      <c r="E158" s="71"/>
      <c r="F158" s="71"/>
      <c r="G158" s="71"/>
      <c r="H158" s="71"/>
      <c r="I158" s="776" t="str">
        <f>I1</f>
        <v>Actual Attachment H</v>
      </c>
      <c r="J158" s="776"/>
      <c r="K158" s="776"/>
    </row>
    <row r="159" spans="1:12">
      <c r="B159" s="71"/>
      <c r="C159" s="71"/>
      <c r="D159" s="104"/>
      <c r="E159" s="71"/>
      <c r="F159" s="71"/>
      <c r="G159" s="71"/>
      <c r="H159" s="71"/>
      <c r="I159" s="71"/>
      <c r="J159" s="775" t="s">
        <v>244</v>
      </c>
      <c r="K159" s="775"/>
    </row>
    <row r="160" spans="1:12">
      <c r="B160" s="71"/>
      <c r="C160" s="71"/>
      <c r="D160" s="104"/>
      <c r="E160" s="71"/>
      <c r="F160" s="71"/>
      <c r="G160" s="71"/>
      <c r="H160" s="71"/>
      <c r="I160" s="71"/>
      <c r="J160" s="105"/>
      <c r="K160" s="105"/>
    </row>
    <row r="161" spans="1:12">
      <c r="B161" s="104" t="s">
        <v>0</v>
      </c>
      <c r="C161" s="71"/>
      <c r="D161" s="78" t="s">
        <v>1</v>
      </c>
      <c r="E161" s="71"/>
      <c r="F161" s="71"/>
      <c r="G161" s="782" t="str">
        <f>K4</f>
        <v>Actuals - For the 12 months ended 12/31/2023</v>
      </c>
      <c r="H161" s="782"/>
      <c r="I161" s="782"/>
      <c r="J161" s="782"/>
      <c r="K161" s="782"/>
    </row>
    <row r="162" spans="1:12">
      <c r="B162" s="71"/>
      <c r="C162" s="107"/>
      <c r="D162" s="108" t="s">
        <v>3</v>
      </c>
      <c r="E162" s="107"/>
      <c r="F162" s="107"/>
      <c r="G162" s="107"/>
      <c r="H162" s="71"/>
      <c r="I162" s="71"/>
      <c r="J162" s="71"/>
      <c r="K162" s="71"/>
    </row>
    <row r="163" spans="1:12" ht="9" customHeight="1">
      <c r="A163" s="78"/>
      <c r="J163" s="107"/>
      <c r="K163" s="107"/>
    </row>
    <row r="164" spans="1:12">
      <c r="A164" s="78"/>
      <c r="D164" s="122" t="str">
        <f>C7</f>
        <v>Cheyenne Light, Fuel &amp; Power</v>
      </c>
      <c r="J164" s="107"/>
      <c r="K164" s="107"/>
    </row>
    <row r="165" spans="1:12">
      <c r="A165" s="78"/>
      <c r="D165" s="136"/>
      <c r="J165" s="107"/>
      <c r="K165" s="107"/>
    </row>
    <row r="166" spans="1:12">
      <c r="A166" s="78"/>
      <c r="D166" s="126" t="s">
        <v>139</v>
      </c>
      <c r="E166" s="71"/>
      <c r="F166" s="71"/>
      <c r="G166" s="71"/>
      <c r="H166" s="71"/>
      <c r="I166" s="71"/>
      <c r="J166" s="107"/>
      <c r="K166" s="107"/>
    </row>
    <row r="167" spans="1:12">
      <c r="A167" s="78" t="s">
        <v>4</v>
      </c>
      <c r="B167" s="78" t="s">
        <v>15</v>
      </c>
      <c r="C167" s="78" t="s">
        <v>16</v>
      </c>
      <c r="D167" s="78" t="s">
        <v>17</v>
      </c>
      <c r="E167" s="107" t="s">
        <v>2</v>
      </c>
      <c r="F167" s="107"/>
      <c r="G167" s="124" t="s">
        <v>18</v>
      </c>
      <c r="H167" s="107"/>
      <c r="I167" s="124" t="s">
        <v>19</v>
      </c>
      <c r="J167" s="107"/>
      <c r="K167" s="107"/>
    </row>
    <row r="168" spans="1:12" ht="13.8" thickBot="1">
      <c r="A168" s="111" t="s">
        <v>6</v>
      </c>
      <c r="B168" s="71" t="s">
        <v>131</v>
      </c>
      <c r="C168" s="71"/>
      <c r="D168" s="71"/>
      <c r="E168" s="71"/>
      <c r="F168" s="71"/>
      <c r="G168" s="71"/>
      <c r="J168" s="107"/>
      <c r="K168" s="107"/>
    </row>
    <row r="169" spans="1:12">
      <c r="A169" s="78">
        <v>1</v>
      </c>
      <c r="B169" s="71" t="s">
        <v>407</v>
      </c>
      <c r="C169" s="71" t="s">
        <v>406</v>
      </c>
      <c r="D169" s="107"/>
      <c r="E169" s="107"/>
      <c r="F169" s="107"/>
      <c r="G169" s="107"/>
      <c r="H169" s="107"/>
      <c r="I169" s="174">
        <f>D46</f>
        <v>121038434.95615387</v>
      </c>
      <c r="J169" s="107"/>
      <c r="K169" s="107"/>
    </row>
    <row r="170" spans="1:12">
      <c r="A170" s="78">
        <v>2</v>
      </c>
      <c r="B170" s="71" t="s">
        <v>408</v>
      </c>
      <c r="C170" s="103" t="s">
        <v>467</v>
      </c>
      <c r="I170" s="754">
        <v>0</v>
      </c>
      <c r="J170" s="107"/>
      <c r="K170" s="107"/>
      <c r="L170" s="421"/>
    </row>
    <row r="171" spans="1:12" ht="13.8" thickBot="1">
      <c r="A171" s="78">
        <v>3</v>
      </c>
      <c r="B171" s="145" t="s">
        <v>409</v>
      </c>
      <c r="C171" s="145" t="s">
        <v>361</v>
      </c>
      <c r="D171" s="107"/>
      <c r="E171" s="107"/>
      <c r="F171" s="107"/>
      <c r="G171" s="108"/>
      <c r="H171" s="107"/>
      <c r="I171" s="146">
        <v>7229733.6946153846</v>
      </c>
      <c r="J171" s="107"/>
      <c r="K171" s="107"/>
      <c r="L171" s="421"/>
    </row>
    <row r="172" spans="1:12">
      <c r="A172" s="78">
        <v>4</v>
      </c>
      <c r="B172" s="71" t="s">
        <v>410</v>
      </c>
      <c r="C172" s="71" t="s">
        <v>411</v>
      </c>
      <c r="D172" s="107"/>
      <c r="E172" s="107"/>
      <c r="F172" s="107"/>
      <c r="G172" s="108"/>
      <c r="H172" s="107"/>
      <c r="I172" s="115">
        <f>I169-I170-I171</f>
        <v>113808701.26153849</v>
      </c>
      <c r="J172" s="107"/>
      <c r="K172" s="107"/>
    </row>
    <row r="173" spans="1:12" ht="9" customHeight="1">
      <c r="A173" s="78"/>
      <c r="C173" s="71"/>
      <c r="D173" s="107"/>
      <c r="E173" s="107"/>
      <c r="F173" s="107"/>
      <c r="G173" s="108"/>
      <c r="H173" s="107"/>
      <c r="J173" s="107"/>
      <c r="K173" s="107"/>
    </row>
    <row r="174" spans="1:12">
      <c r="A174" s="78">
        <v>5</v>
      </c>
      <c r="B174" s="71" t="s">
        <v>412</v>
      </c>
      <c r="C174" s="110" t="s">
        <v>413</v>
      </c>
      <c r="D174" s="110"/>
      <c r="E174" s="110"/>
      <c r="F174" s="110"/>
      <c r="G174" s="124"/>
      <c r="H174" s="107" t="s">
        <v>53</v>
      </c>
      <c r="I174" s="147">
        <f>IF(I169&gt;0,I172/I169,0)</f>
        <v>0.94026910793059781</v>
      </c>
      <c r="J174" s="107"/>
      <c r="K174" s="107"/>
    </row>
    <row r="175" spans="1:12" ht="9" customHeight="1">
      <c r="A175" s="78"/>
      <c r="J175" s="107"/>
      <c r="K175" s="107"/>
    </row>
    <row r="176" spans="1:12">
      <c r="A176" s="78"/>
      <c r="B176" s="71" t="s">
        <v>51</v>
      </c>
      <c r="J176" s="107"/>
      <c r="K176" s="107"/>
    </row>
    <row r="177" spans="1:17">
      <c r="A177" s="78">
        <v>6</v>
      </c>
      <c r="B177" s="103" t="s">
        <v>414</v>
      </c>
      <c r="C177" s="103" t="s">
        <v>424</v>
      </c>
      <c r="D177" s="71"/>
      <c r="E177" s="71"/>
      <c r="F177" s="71"/>
      <c r="G177" s="78"/>
      <c r="H177" s="71"/>
      <c r="I177" s="174">
        <f>D105</f>
        <v>23538853</v>
      </c>
      <c r="J177" s="107"/>
      <c r="K177" s="107"/>
    </row>
    <row r="178" spans="1:17" ht="13.8" thickBot="1">
      <c r="A178" s="78">
        <v>7</v>
      </c>
      <c r="B178" s="145" t="s">
        <v>423</v>
      </c>
      <c r="C178" s="145" t="s">
        <v>422</v>
      </c>
      <c r="D178" s="107"/>
      <c r="E178" s="107"/>
      <c r="F178" s="107"/>
      <c r="G178" s="107"/>
      <c r="H178" s="107"/>
      <c r="I178" s="149">
        <f>D106</f>
        <v>348863</v>
      </c>
      <c r="J178" s="107"/>
      <c r="K178" s="107"/>
      <c r="L178" s="421"/>
      <c r="M178" s="107"/>
      <c r="N178" s="150"/>
      <c r="P178" s="107"/>
      <c r="Q178" s="71"/>
    </row>
    <row r="179" spans="1:17">
      <c r="A179" s="78">
        <v>8</v>
      </c>
      <c r="B179" s="71" t="s">
        <v>416</v>
      </c>
      <c r="C179" s="110" t="s">
        <v>415</v>
      </c>
      <c r="D179" s="110"/>
      <c r="E179" s="110"/>
      <c r="F179" s="110"/>
      <c r="G179" s="124"/>
      <c r="H179" s="110"/>
      <c r="I179" s="115">
        <f>+I177-I178</f>
        <v>23189990</v>
      </c>
      <c r="N179" s="152"/>
      <c r="O179" s="153"/>
      <c r="P179" s="154"/>
      <c r="Q179" s="154"/>
    </row>
    <row r="180" spans="1:17">
      <c r="A180" s="78"/>
      <c r="B180" s="71"/>
      <c r="C180" s="71"/>
      <c r="D180" s="107"/>
      <c r="E180" s="107"/>
      <c r="F180" s="107"/>
      <c r="G180" s="107"/>
      <c r="N180" s="152"/>
      <c r="O180" s="153"/>
    </row>
    <row r="181" spans="1:17">
      <c r="A181" s="78">
        <v>9</v>
      </c>
      <c r="B181" s="71" t="s">
        <v>549</v>
      </c>
      <c r="C181" s="71" t="s">
        <v>425</v>
      </c>
      <c r="D181" s="107"/>
      <c r="E181" s="107"/>
      <c r="F181" s="107"/>
      <c r="G181" s="107"/>
      <c r="H181" s="107"/>
      <c r="I181" s="131">
        <f>IF(I177&gt;0,I179/I177,0)</f>
        <v>0.98517926935522304</v>
      </c>
      <c r="N181" s="71"/>
      <c r="O181" s="155"/>
      <c r="P181" s="153"/>
      <c r="Q181" s="153"/>
    </row>
    <row r="182" spans="1:17">
      <c r="A182" s="78">
        <v>10</v>
      </c>
      <c r="B182" s="71" t="s">
        <v>550</v>
      </c>
      <c r="C182" s="71" t="s">
        <v>419</v>
      </c>
      <c r="D182" s="107"/>
      <c r="E182" s="107"/>
      <c r="F182" s="107"/>
      <c r="G182" s="107"/>
      <c r="H182" s="71" t="s">
        <v>11</v>
      </c>
      <c r="I182" s="131">
        <f>$I$174</f>
        <v>0.94026910793059781</v>
      </c>
      <c r="N182" s="150"/>
      <c r="O182" s="153"/>
      <c r="Q182" s="153"/>
    </row>
    <row r="183" spans="1:17">
      <c r="A183" s="78">
        <v>11</v>
      </c>
      <c r="B183" s="71" t="s">
        <v>551</v>
      </c>
      <c r="C183" s="71" t="s">
        <v>420</v>
      </c>
      <c r="D183" s="71"/>
      <c r="E183" s="71"/>
      <c r="F183" s="71"/>
      <c r="G183" s="71"/>
      <c r="H183" s="71" t="s">
        <v>52</v>
      </c>
      <c r="I183" s="114">
        <f>+I182*I181</f>
        <v>0.92633363274835367</v>
      </c>
      <c r="N183" s="150"/>
      <c r="O183" s="153"/>
      <c r="Q183" s="153"/>
    </row>
    <row r="184" spans="1:17">
      <c r="A184" s="78"/>
      <c r="C184" s="71"/>
      <c r="D184" s="107"/>
      <c r="E184" s="107"/>
      <c r="F184" s="107"/>
      <c r="G184" s="108"/>
      <c r="H184" s="107"/>
      <c r="N184" s="150"/>
      <c r="O184" s="153"/>
      <c r="Q184" s="156"/>
    </row>
    <row r="185" spans="1:17">
      <c r="A185" s="78" t="s">
        <v>2</v>
      </c>
      <c r="B185" s="71" t="s">
        <v>54</v>
      </c>
      <c r="C185" s="107"/>
      <c r="D185" s="107"/>
      <c r="E185" s="107"/>
      <c r="F185" s="107"/>
      <c r="G185" s="107"/>
      <c r="H185" s="107"/>
      <c r="I185" s="107"/>
      <c r="J185" s="107"/>
      <c r="K185" s="107"/>
      <c r="N185" s="152"/>
      <c r="O185" s="153"/>
      <c r="P185" s="107"/>
      <c r="Q185" s="71"/>
    </row>
    <row r="186" spans="1:17" ht="13.8" thickBot="1">
      <c r="A186" s="78" t="s">
        <v>2</v>
      </c>
      <c r="B186" s="71"/>
      <c r="C186" s="157" t="s">
        <v>55</v>
      </c>
      <c r="D186" s="158" t="s">
        <v>56</v>
      </c>
      <c r="E186" s="158" t="s">
        <v>11</v>
      </c>
      <c r="F186" s="107"/>
      <c r="G186" s="158" t="s">
        <v>57</v>
      </c>
      <c r="H186" s="107"/>
      <c r="I186" s="107"/>
      <c r="J186" s="107"/>
      <c r="K186" s="107"/>
      <c r="N186" s="152"/>
      <c r="O186" s="153"/>
      <c r="P186" s="107"/>
      <c r="Q186" s="71"/>
    </row>
    <row r="187" spans="1:17">
      <c r="A187" s="78">
        <v>12</v>
      </c>
      <c r="B187" s="71" t="s">
        <v>26</v>
      </c>
      <c r="C187" s="107" t="s">
        <v>116</v>
      </c>
      <c r="D187" s="116">
        <v>3584748</v>
      </c>
      <c r="E187" s="159">
        <v>0</v>
      </c>
      <c r="F187" s="159"/>
      <c r="G187" s="115">
        <f>D187*E187</f>
        <v>0</v>
      </c>
      <c r="H187" s="107"/>
      <c r="I187" s="107"/>
      <c r="J187" s="107"/>
      <c r="K187" s="107"/>
      <c r="L187" s="421"/>
    </row>
    <row r="188" spans="1:17">
      <c r="A188" s="78">
        <v>13</v>
      </c>
      <c r="B188" s="71" t="s">
        <v>28</v>
      </c>
      <c r="C188" s="107" t="s">
        <v>117</v>
      </c>
      <c r="D188" s="116">
        <v>631016</v>
      </c>
      <c r="E188" s="547">
        <f>$I$174</f>
        <v>0.94026910793059781</v>
      </c>
      <c r="F188" s="159"/>
      <c r="G188" s="115">
        <f>D188*E188</f>
        <v>593324.85140993411</v>
      </c>
      <c r="H188" s="107"/>
      <c r="I188" s="107"/>
      <c r="J188" s="107"/>
      <c r="K188" s="107"/>
      <c r="L188" s="421"/>
      <c r="M188" s="107"/>
    </row>
    <row r="189" spans="1:17">
      <c r="A189" s="78">
        <v>14</v>
      </c>
      <c r="B189" s="71" t="s">
        <v>29</v>
      </c>
      <c r="C189" s="107" t="s">
        <v>118</v>
      </c>
      <c r="D189" s="116">
        <v>2333961</v>
      </c>
      <c r="E189" s="159">
        <v>0</v>
      </c>
      <c r="F189" s="159"/>
      <c r="G189" s="115">
        <f>D189*E189</f>
        <v>0</v>
      </c>
      <c r="H189" s="107"/>
      <c r="I189" s="108" t="s">
        <v>58</v>
      </c>
      <c r="J189" s="107"/>
      <c r="K189" s="107"/>
      <c r="L189" s="421"/>
      <c r="M189" s="107"/>
    </row>
    <row r="190" spans="1:17" ht="13.8" thickBot="1">
      <c r="A190" s="78">
        <v>15</v>
      </c>
      <c r="B190" s="71" t="s">
        <v>59</v>
      </c>
      <c r="C190" s="107" t="s">
        <v>121</v>
      </c>
      <c r="D190" s="146">
        <f>454398+96148</f>
        <v>550546</v>
      </c>
      <c r="E190" s="159">
        <v>0</v>
      </c>
      <c r="F190" s="159"/>
      <c r="G190" s="161">
        <f>D190*E190</f>
        <v>0</v>
      </c>
      <c r="H190" s="107"/>
      <c r="I190" s="111" t="s">
        <v>60</v>
      </c>
      <c r="J190" s="107"/>
      <c r="K190" s="107"/>
      <c r="L190" s="421"/>
      <c r="M190" s="107"/>
    </row>
    <row r="191" spans="1:17">
      <c r="A191" s="78">
        <v>16</v>
      </c>
      <c r="B191" s="71" t="s">
        <v>427</v>
      </c>
      <c r="C191" s="107" t="s">
        <v>1231</v>
      </c>
      <c r="D191" s="115">
        <f>SUM(D187:D190)</f>
        <v>7100271</v>
      </c>
      <c r="E191" s="107"/>
      <c r="F191" s="107"/>
      <c r="G191" s="115">
        <f>SUM(G187:G190)</f>
        <v>593324.85140993411</v>
      </c>
      <c r="H191" s="78" t="s">
        <v>61</v>
      </c>
      <c r="I191" s="131">
        <f>IF(G191&gt;0,G191/D191,0)</f>
        <v>8.3563690936576104E-2</v>
      </c>
      <c r="J191" s="108" t="s">
        <v>61</v>
      </c>
      <c r="K191" s="143" t="s">
        <v>100</v>
      </c>
    </row>
    <row r="192" spans="1:17" ht="9" customHeight="1">
      <c r="A192" s="78"/>
      <c r="B192" s="71"/>
      <c r="C192" s="107"/>
      <c r="D192" s="107"/>
      <c r="E192" s="107"/>
      <c r="F192" s="107"/>
      <c r="G192" s="107"/>
      <c r="H192" s="107"/>
      <c r="I192" s="107"/>
      <c r="J192" s="107"/>
      <c r="K192" s="107"/>
    </row>
    <row r="193" spans="1:13">
      <c r="A193" s="78"/>
      <c r="B193" s="71" t="s">
        <v>153</v>
      </c>
      <c r="C193" s="107"/>
      <c r="D193" s="125" t="s">
        <v>56</v>
      </c>
      <c r="E193" s="107"/>
      <c r="F193" s="107"/>
      <c r="G193" s="108" t="s">
        <v>62</v>
      </c>
      <c r="H193" s="139" t="s">
        <v>2</v>
      </c>
      <c r="I193" s="132" t="str">
        <f>+I189</f>
        <v>W&amp;S Allocator</v>
      </c>
      <c r="J193" s="107"/>
      <c r="K193" s="107"/>
    </row>
    <row r="194" spans="1:13">
      <c r="A194" s="78">
        <v>17</v>
      </c>
      <c r="B194" s="71" t="s">
        <v>63</v>
      </c>
      <c r="C194" s="107" t="s">
        <v>64</v>
      </c>
      <c r="D194" s="116">
        <v>758708126</v>
      </c>
      <c r="E194" s="107"/>
      <c r="G194" s="78" t="s">
        <v>65</v>
      </c>
      <c r="H194" s="139"/>
      <c r="I194" s="78" t="s">
        <v>66</v>
      </c>
      <c r="J194" s="107"/>
      <c r="K194" s="78" t="s">
        <v>67</v>
      </c>
      <c r="L194" s="421"/>
      <c r="M194" s="107"/>
    </row>
    <row r="195" spans="1:13">
      <c r="A195" s="78">
        <v>18</v>
      </c>
      <c r="B195" s="71" t="s">
        <v>68</v>
      </c>
      <c r="C195" s="107" t="s">
        <v>107</v>
      </c>
      <c r="D195" s="754">
        <v>0</v>
      </c>
      <c r="E195" s="107"/>
      <c r="G195" s="114">
        <f>IF(D197&gt;0,D194/D197,0)</f>
        <v>0.9801409562986001</v>
      </c>
      <c r="H195" s="108" t="s">
        <v>69</v>
      </c>
      <c r="I195" s="114">
        <f>I191</f>
        <v>8.3563690936576104E-2</v>
      </c>
      <c r="J195" s="139" t="s">
        <v>61</v>
      </c>
      <c r="K195" s="162">
        <f>I195*G195</f>
        <v>8.1904195946416361E-2</v>
      </c>
      <c r="L195" s="421"/>
    </row>
    <row r="196" spans="1:13" ht="13.8" thickBot="1">
      <c r="A196" s="78">
        <v>19</v>
      </c>
      <c r="B196" s="145" t="s">
        <v>59</v>
      </c>
      <c r="C196" s="157" t="s">
        <v>743</v>
      </c>
      <c r="D196" s="146">
        <v>15372501</v>
      </c>
      <c r="E196" s="107"/>
      <c r="F196" s="107"/>
      <c r="G196" s="107" t="s">
        <v>2</v>
      </c>
      <c r="H196" s="107"/>
      <c r="I196" s="107"/>
      <c r="J196" s="107"/>
      <c r="K196" s="107"/>
      <c r="L196" s="421"/>
    </row>
    <row r="197" spans="1:13">
      <c r="A197" s="78">
        <v>20</v>
      </c>
      <c r="B197" s="71" t="s">
        <v>427</v>
      </c>
      <c r="C197" s="107" t="s">
        <v>428</v>
      </c>
      <c r="D197" s="115">
        <f>D194+D195+D196</f>
        <v>774080627</v>
      </c>
      <c r="E197" s="107"/>
      <c r="F197" s="107"/>
      <c r="G197" s="107"/>
      <c r="H197" s="107"/>
      <c r="I197" s="107"/>
      <c r="J197" s="107"/>
      <c r="K197" s="107"/>
    </row>
    <row r="198" spans="1:13" ht="9" customHeight="1">
      <c r="A198" s="78"/>
      <c r="B198" s="71"/>
      <c r="C198" s="107"/>
      <c r="E198" s="107"/>
      <c r="F198" s="107"/>
      <c r="G198" s="107"/>
      <c r="H198" s="107"/>
      <c r="I198" s="107"/>
      <c r="J198" s="107"/>
      <c r="K198" s="107"/>
    </row>
    <row r="199" spans="1:13" ht="13.8" thickBot="1">
      <c r="A199" s="78"/>
      <c r="B199" s="71" t="s">
        <v>70</v>
      </c>
      <c r="C199" s="107"/>
      <c r="D199" s="107"/>
      <c r="E199" s="107"/>
      <c r="F199" s="107"/>
      <c r="G199" s="107"/>
      <c r="H199" s="107"/>
      <c r="I199" s="158" t="s">
        <v>56</v>
      </c>
      <c r="J199" s="107"/>
      <c r="K199" s="107"/>
    </row>
    <row r="200" spans="1:13">
      <c r="A200" s="78">
        <v>21</v>
      </c>
      <c r="B200" s="107" t="s">
        <v>431</v>
      </c>
      <c r="C200" s="107" t="s">
        <v>744</v>
      </c>
      <c r="D200" s="107"/>
      <c r="E200" s="107"/>
      <c r="F200" s="107"/>
      <c r="G200" s="107"/>
      <c r="H200" s="107"/>
      <c r="I200" s="163">
        <f>11330569+73327+11725-78740-0+9632111</f>
        <v>20968992</v>
      </c>
      <c r="J200" s="107"/>
      <c r="K200" s="107"/>
      <c r="L200" s="421"/>
      <c r="M200" s="107"/>
    </row>
    <row r="201" spans="1:13" ht="9" customHeight="1">
      <c r="A201" s="78"/>
      <c r="B201" s="107"/>
      <c r="C201" s="107"/>
      <c r="D201" s="107"/>
      <c r="E201" s="107"/>
      <c r="F201" s="107"/>
      <c r="G201" s="107"/>
      <c r="H201" s="107"/>
      <c r="I201" s="107"/>
      <c r="J201" s="107"/>
      <c r="K201" s="107"/>
    </row>
    <row r="202" spans="1:13">
      <c r="A202" s="78">
        <v>22</v>
      </c>
      <c r="B202" s="107" t="s">
        <v>430</v>
      </c>
      <c r="C202" s="107" t="s">
        <v>429</v>
      </c>
      <c r="D202" s="107"/>
      <c r="E202" s="107"/>
      <c r="F202" s="107"/>
      <c r="G202" s="107"/>
      <c r="H202" s="107"/>
      <c r="I202" s="164">
        <v>0</v>
      </c>
      <c r="J202" s="107"/>
      <c r="K202" s="107"/>
      <c r="L202" s="421"/>
      <c r="M202" s="107"/>
    </row>
    <row r="203" spans="1:13" ht="9" customHeight="1">
      <c r="A203" s="78"/>
      <c r="B203" s="71"/>
      <c r="C203" s="107"/>
      <c r="D203" s="107"/>
      <c r="E203" s="107"/>
      <c r="F203" s="107"/>
      <c r="G203" s="107"/>
      <c r="H203" s="107"/>
      <c r="I203" s="107"/>
      <c r="J203" s="107"/>
      <c r="K203" s="107"/>
    </row>
    <row r="204" spans="1:13">
      <c r="A204" s="78"/>
      <c r="B204" s="165" t="s">
        <v>432</v>
      </c>
      <c r="C204" s="107"/>
      <c r="D204" s="107"/>
      <c r="E204" s="107"/>
      <c r="F204" s="107"/>
      <c r="G204" s="107"/>
      <c r="H204" s="107"/>
      <c r="I204" s="107"/>
      <c r="J204" s="107"/>
      <c r="K204" s="107"/>
    </row>
    <row r="205" spans="1:13">
      <c r="A205" s="78">
        <v>23</v>
      </c>
      <c r="B205" s="107" t="s">
        <v>435</v>
      </c>
      <c r="C205" s="107" t="s">
        <v>433</v>
      </c>
      <c r="D205" s="71"/>
      <c r="E205" s="107"/>
      <c r="F205" s="107"/>
      <c r="G205" s="107"/>
      <c r="H205" s="107"/>
      <c r="I205" s="116">
        <v>279341856</v>
      </c>
      <c r="J205" s="107"/>
      <c r="K205" s="107"/>
      <c r="L205" s="421"/>
      <c r="M205" s="107"/>
    </row>
    <row r="206" spans="1:13">
      <c r="A206" s="78">
        <v>24</v>
      </c>
      <c r="B206" s="107" t="s">
        <v>436</v>
      </c>
      <c r="C206" s="107" t="s">
        <v>434</v>
      </c>
      <c r="D206" s="107"/>
      <c r="E206" s="107"/>
      <c r="F206" s="107"/>
      <c r="G206" s="107"/>
      <c r="H206" s="107"/>
      <c r="I206" s="115">
        <f>+D213</f>
        <v>0</v>
      </c>
      <c r="J206" s="107"/>
      <c r="K206" s="107"/>
      <c r="L206" s="421"/>
    </row>
    <row r="207" spans="1:13">
      <c r="A207" s="78">
        <v>25</v>
      </c>
      <c r="B207" s="71" t="s">
        <v>437</v>
      </c>
      <c r="C207" s="71" t="s">
        <v>951</v>
      </c>
      <c r="D207" s="107"/>
      <c r="E207" s="107"/>
      <c r="F207" s="107"/>
      <c r="G207" s="107"/>
      <c r="H207" s="107"/>
      <c r="I207" s="116">
        <v>0</v>
      </c>
      <c r="J207" s="107"/>
      <c r="K207" s="107"/>
      <c r="L207" s="421"/>
      <c r="M207" s="71"/>
    </row>
    <row r="208" spans="1:13" ht="13.8" thickBot="1">
      <c r="A208" s="78">
        <v>26</v>
      </c>
      <c r="B208" s="145" t="s">
        <v>952</v>
      </c>
      <c r="C208" s="145" t="s">
        <v>953</v>
      </c>
      <c r="D208" s="107"/>
      <c r="E208" s="107"/>
      <c r="F208" s="107"/>
      <c r="G208" s="107"/>
      <c r="H208" s="107"/>
      <c r="I208" s="116">
        <v>0</v>
      </c>
      <c r="J208" s="107"/>
      <c r="K208" s="107"/>
      <c r="L208" s="421"/>
    </row>
    <row r="209" spans="1:13">
      <c r="A209" s="78">
        <v>27</v>
      </c>
      <c r="B209" s="71" t="s">
        <v>71</v>
      </c>
      <c r="C209" s="110" t="s">
        <v>954</v>
      </c>
      <c r="D209" s="115"/>
      <c r="E209" s="71"/>
      <c r="F209" s="71"/>
      <c r="G209" s="71"/>
      <c r="H209" s="71"/>
      <c r="I209" s="180">
        <f>I205-I206-I207-I208</f>
        <v>279341856</v>
      </c>
      <c r="J209" s="107"/>
      <c r="K209" s="107"/>
    </row>
    <row r="210" spans="1:13">
      <c r="A210" s="78"/>
      <c r="B210" s="71"/>
      <c r="C210" s="107"/>
      <c r="D210" s="107"/>
      <c r="E210" s="107"/>
      <c r="F210" s="107"/>
      <c r="G210" s="108" t="s">
        <v>72</v>
      </c>
      <c r="H210" s="107"/>
      <c r="I210" s="107"/>
      <c r="J210" s="107"/>
      <c r="K210" s="107"/>
    </row>
    <row r="211" spans="1:13" ht="13.8" thickBot="1">
      <c r="A211" s="78"/>
      <c r="B211" s="71"/>
      <c r="C211" s="107"/>
      <c r="D211" s="111" t="s">
        <v>56</v>
      </c>
      <c r="E211" s="111" t="s">
        <v>73</v>
      </c>
      <c r="F211" s="107"/>
      <c r="G211" s="111" t="s">
        <v>472</v>
      </c>
      <c r="H211" s="107"/>
      <c r="I211" s="111" t="s">
        <v>74</v>
      </c>
      <c r="J211" s="107"/>
      <c r="K211" s="107"/>
    </row>
    <row r="212" spans="1:13">
      <c r="A212" s="78">
        <v>28</v>
      </c>
      <c r="B212" s="71" t="s">
        <v>440</v>
      </c>
      <c r="C212" s="71" t="s">
        <v>438</v>
      </c>
      <c r="D212" s="116">
        <f>195000000+140300000</f>
        <v>335300000</v>
      </c>
      <c r="E212" s="166">
        <f>IF($D$215&gt;0,D212/$D$215,0)</f>
        <v>0.54552093504025867</v>
      </c>
      <c r="F212" s="167"/>
      <c r="G212" s="168">
        <f>IF(D212&gt;0,I200/D212,0)</f>
        <v>6.2538001789442285E-2</v>
      </c>
      <c r="I212" s="168">
        <f>G212*E212</f>
        <v>3.4115789211725922E-2</v>
      </c>
      <c r="J212" s="169" t="s">
        <v>75</v>
      </c>
      <c r="L212" s="421"/>
      <c r="M212" s="71"/>
    </row>
    <row r="213" spans="1:13">
      <c r="A213" s="78">
        <v>29</v>
      </c>
      <c r="B213" s="71" t="s">
        <v>441</v>
      </c>
      <c r="C213" s="71" t="s">
        <v>439</v>
      </c>
      <c r="D213" s="116">
        <v>0</v>
      </c>
      <c r="E213" s="166">
        <f>IF($D$215&gt;0,D213/$D$215,0)</f>
        <v>0</v>
      </c>
      <c r="F213" s="167"/>
      <c r="G213" s="168">
        <f>IF(D213&gt;0,I202/D213,0)</f>
        <v>0</v>
      </c>
      <c r="I213" s="168">
        <f>G213*E213</f>
        <v>0</v>
      </c>
      <c r="J213" s="107"/>
      <c r="L213" s="421"/>
      <c r="M213" s="71"/>
    </row>
    <row r="214" spans="1:13" ht="13.8" thickBot="1">
      <c r="A214" s="78">
        <v>30</v>
      </c>
      <c r="B214" s="145" t="s">
        <v>442</v>
      </c>
      <c r="C214" s="145" t="s">
        <v>955</v>
      </c>
      <c r="D214" s="161">
        <f>I209</f>
        <v>279341856</v>
      </c>
      <c r="E214" s="166">
        <f>IF($D$215&gt;0,D214/$D$215,0)</f>
        <v>0.45447906495974139</v>
      </c>
      <c r="F214" s="167"/>
      <c r="G214" s="719">
        <v>9.9000000000000005E-2</v>
      </c>
      <c r="I214" s="170">
        <f>G214*E214</f>
        <v>4.49934274310144E-2</v>
      </c>
      <c r="J214" s="107"/>
      <c r="L214" s="421"/>
      <c r="M214" s="71"/>
    </row>
    <row r="215" spans="1:13">
      <c r="A215" s="78">
        <v>31</v>
      </c>
      <c r="B215" s="71" t="s">
        <v>388</v>
      </c>
      <c r="C215" s="110" t="s">
        <v>956</v>
      </c>
      <c r="D215" s="115">
        <f>D214+D213+D212</f>
        <v>614641856</v>
      </c>
      <c r="E215" s="107" t="s">
        <v>2</v>
      </c>
      <c r="F215" s="107"/>
      <c r="G215" s="107"/>
      <c r="H215" s="107"/>
      <c r="I215" s="168">
        <f>SUM(I212:I214)</f>
        <v>7.9109216642740315E-2</v>
      </c>
      <c r="J215" s="169" t="s">
        <v>76</v>
      </c>
    </row>
    <row r="216" spans="1:13" ht="9" customHeight="1">
      <c r="E216" s="107"/>
      <c r="F216" s="107"/>
      <c r="G216" s="107"/>
      <c r="H216" s="107"/>
    </row>
    <row r="217" spans="1:13">
      <c r="A217" s="783"/>
      <c r="B217" s="783"/>
      <c r="C217" s="783"/>
      <c r="D217" s="107"/>
      <c r="E217" s="107"/>
      <c r="F217" s="133"/>
      <c r="G217" s="784"/>
      <c r="H217" s="784"/>
      <c r="I217" s="784"/>
      <c r="J217" s="784"/>
      <c r="K217" s="784"/>
    </row>
    <row r="218" spans="1:13">
      <c r="A218" s="78">
        <v>32</v>
      </c>
      <c r="B218" s="71" t="s">
        <v>702</v>
      </c>
      <c r="C218" s="71" t="s">
        <v>706</v>
      </c>
      <c r="D218" s="104"/>
      <c r="E218" s="71"/>
      <c r="F218" s="71"/>
      <c r="G218" s="71"/>
      <c r="H218" s="349"/>
      <c r="I218" s="164">
        <f>SUM('A7-IncentPlant'!F19:F42)</f>
        <v>0</v>
      </c>
      <c r="J218" s="349"/>
      <c r="K218" s="349"/>
      <c r="L218" s="421"/>
    </row>
    <row r="219" spans="1:13">
      <c r="B219" s="71"/>
      <c r="C219" s="71"/>
      <c r="D219" s="104"/>
      <c r="E219" s="71"/>
      <c r="F219" s="71"/>
      <c r="G219" s="775"/>
      <c r="H219" s="775"/>
      <c r="I219" s="775"/>
      <c r="J219" s="775"/>
      <c r="K219" s="775"/>
    </row>
    <row r="220" spans="1:13">
      <c r="B220" s="71"/>
      <c r="C220" s="71"/>
      <c r="D220" s="104"/>
      <c r="E220" s="71"/>
      <c r="F220" s="71"/>
      <c r="G220" s="71"/>
      <c r="H220" s="71"/>
      <c r="I220" s="776" t="str">
        <f>I1</f>
        <v>Actual Attachment H</v>
      </c>
      <c r="J220" s="776"/>
      <c r="K220" s="776"/>
    </row>
    <row r="221" spans="1:13">
      <c r="B221" s="71"/>
      <c r="C221" s="71"/>
      <c r="D221" s="104"/>
      <c r="E221" s="71"/>
      <c r="F221" s="71"/>
      <c r="G221" s="71"/>
      <c r="H221" s="71"/>
      <c r="I221" s="71"/>
      <c r="J221" s="775" t="s">
        <v>359</v>
      </c>
      <c r="K221" s="775"/>
    </row>
    <row r="222" spans="1:13">
      <c r="B222" s="71"/>
      <c r="C222" s="71"/>
      <c r="D222" s="104"/>
      <c r="E222" s="71"/>
      <c r="F222" s="71"/>
      <c r="G222" s="71"/>
      <c r="H222" s="71"/>
      <c r="I222" s="71"/>
      <c r="J222" s="71"/>
      <c r="K222" s="105"/>
    </row>
    <row r="223" spans="1:13">
      <c r="B223" s="104" t="s">
        <v>0</v>
      </c>
      <c r="C223" s="71"/>
      <c r="D223" s="78" t="s">
        <v>1</v>
      </c>
      <c r="E223" s="71"/>
      <c r="F223" s="71"/>
      <c r="G223" s="71"/>
      <c r="H223" s="71"/>
      <c r="I223" s="71"/>
      <c r="J223" s="71"/>
      <c r="K223" s="121" t="str">
        <f>K4</f>
        <v>Actuals - For the 12 months ended 12/31/2023</v>
      </c>
    </row>
    <row r="224" spans="1:13">
      <c r="B224" s="71"/>
      <c r="C224" s="107"/>
      <c r="D224" s="108" t="s">
        <v>3</v>
      </c>
      <c r="E224" s="107"/>
      <c r="F224" s="107"/>
      <c r="G224" s="107"/>
      <c r="H224" s="71"/>
      <c r="I224" s="71"/>
      <c r="J224" s="71"/>
      <c r="K224" s="71"/>
    </row>
    <row r="225" spans="1:11">
      <c r="A225" s="78"/>
      <c r="C225" s="78"/>
      <c r="D225" s="107"/>
      <c r="E225" s="107"/>
      <c r="F225" s="107"/>
      <c r="G225" s="107"/>
      <c r="H225" s="71"/>
      <c r="I225" s="152"/>
      <c r="K225" s="107"/>
    </row>
    <row r="226" spans="1:11">
      <c r="A226" s="78"/>
      <c r="C226" s="78"/>
      <c r="D226" s="171" t="str">
        <f>C7</f>
        <v>Cheyenne Light, Fuel &amp; Power</v>
      </c>
      <c r="E226" s="107"/>
      <c r="F226" s="107"/>
      <c r="G226" s="107"/>
      <c r="H226" s="71"/>
      <c r="I226" s="152"/>
      <c r="K226" s="107"/>
    </row>
    <row r="227" spans="1:11">
      <c r="A227" s="78"/>
      <c r="C227" s="78"/>
      <c r="D227" s="107"/>
      <c r="E227" s="107"/>
      <c r="F227" s="107"/>
      <c r="G227" s="107"/>
      <c r="H227" s="71"/>
      <c r="I227" s="152"/>
      <c r="K227" s="107"/>
    </row>
    <row r="228" spans="1:11">
      <c r="A228" s="78"/>
      <c r="B228" s="71" t="s">
        <v>120</v>
      </c>
      <c r="C228" s="78"/>
      <c r="D228" s="107"/>
      <c r="E228" s="107"/>
      <c r="F228" s="107"/>
      <c r="G228" s="107"/>
      <c r="H228" s="71"/>
      <c r="I228" s="107"/>
      <c r="J228" s="71"/>
      <c r="K228" s="107"/>
    </row>
    <row r="229" spans="1:11">
      <c r="A229" s="78"/>
      <c r="B229" s="172" t="s">
        <v>119</v>
      </c>
      <c r="C229" s="78"/>
      <c r="D229" s="107"/>
      <c r="E229" s="107"/>
      <c r="F229" s="107"/>
      <c r="G229" s="107"/>
      <c r="H229" s="71"/>
      <c r="I229" s="107"/>
      <c r="J229" s="71"/>
      <c r="K229" s="107"/>
    </row>
    <row r="230" spans="1:11">
      <c r="A230" s="78" t="s">
        <v>77</v>
      </c>
      <c r="B230" s="71"/>
      <c r="C230" s="71"/>
      <c r="D230" s="107"/>
      <c r="E230" s="107"/>
      <c r="F230" s="107"/>
      <c r="G230" s="107"/>
      <c r="H230" s="71"/>
      <c r="I230" s="107"/>
      <c r="J230" s="71"/>
      <c r="K230" s="107"/>
    </row>
    <row r="231" spans="1:11" ht="13.8" thickBot="1">
      <c r="A231" s="111" t="s">
        <v>78</v>
      </c>
      <c r="B231" s="71"/>
      <c r="C231" s="71"/>
      <c r="D231" s="107"/>
      <c r="E231" s="107"/>
      <c r="F231" s="107"/>
      <c r="G231" s="107"/>
      <c r="H231" s="71"/>
      <c r="I231" s="107"/>
      <c r="J231" s="71"/>
      <c r="K231" s="107"/>
    </row>
    <row r="232" spans="1:11">
      <c r="A232" s="79" t="s">
        <v>79</v>
      </c>
      <c r="B232" s="82" t="s">
        <v>128</v>
      </c>
      <c r="C232" s="83"/>
      <c r="D232" s="84"/>
      <c r="E232" s="84"/>
      <c r="F232" s="84"/>
      <c r="G232" s="84"/>
      <c r="H232" s="83"/>
      <c r="I232" s="84"/>
      <c r="J232" s="83"/>
      <c r="K232" s="84"/>
    </row>
    <row r="233" spans="1:11" ht="30.75" customHeight="1">
      <c r="A233" s="79" t="s">
        <v>80</v>
      </c>
      <c r="B233" s="780" t="s">
        <v>1023</v>
      </c>
      <c r="C233" s="780"/>
      <c r="D233" s="780"/>
      <c r="E233" s="780"/>
      <c r="F233" s="780"/>
      <c r="G233" s="780"/>
      <c r="H233" s="780"/>
      <c r="I233" s="780"/>
      <c r="J233" s="780"/>
      <c r="K233" s="780"/>
    </row>
    <row r="234" spans="1:11" ht="26.25" customHeight="1">
      <c r="A234" s="79" t="s">
        <v>81</v>
      </c>
      <c r="B234" s="777" t="s">
        <v>1203</v>
      </c>
      <c r="C234" s="777"/>
      <c r="D234" s="777"/>
      <c r="E234" s="777"/>
      <c r="F234" s="777"/>
      <c r="G234" s="777"/>
      <c r="H234" s="777"/>
      <c r="I234" s="777"/>
      <c r="J234" s="777"/>
      <c r="K234" s="777"/>
    </row>
    <row r="235" spans="1:11" ht="27" customHeight="1">
      <c r="A235" s="79" t="s">
        <v>82</v>
      </c>
      <c r="B235" s="779" t="s">
        <v>1125</v>
      </c>
      <c r="C235" s="779"/>
      <c r="D235" s="779"/>
      <c r="E235" s="779"/>
      <c r="F235" s="779"/>
      <c r="G235" s="779"/>
      <c r="H235" s="779"/>
      <c r="I235" s="779"/>
      <c r="J235" s="83"/>
      <c r="K235" s="83"/>
    </row>
    <row r="236" spans="1:11">
      <c r="A236" s="79" t="s">
        <v>83</v>
      </c>
      <c r="B236" s="777" t="s">
        <v>920</v>
      </c>
      <c r="C236" s="777"/>
      <c r="D236" s="777"/>
      <c r="E236" s="777"/>
      <c r="F236" s="777"/>
      <c r="G236" s="777"/>
      <c r="H236" s="777"/>
      <c r="I236" s="777"/>
      <c r="J236" s="777"/>
      <c r="K236" s="777"/>
    </row>
    <row r="237" spans="1:11" ht="28.5" customHeight="1">
      <c r="A237" s="79" t="s">
        <v>84</v>
      </c>
      <c r="B237" s="778" t="s">
        <v>921</v>
      </c>
      <c r="C237" s="778"/>
      <c r="D237" s="778"/>
      <c r="E237" s="778"/>
      <c r="F237" s="778"/>
      <c r="G237" s="778"/>
      <c r="H237" s="778"/>
      <c r="I237" s="778"/>
      <c r="J237" s="86"/>
      <c r="K237" s="86"/>
    </row>
    <row r="238" spans="1:11">
      <c r="A238" s="79" t="s">
        <v>85</v>
      </c>
      <c r="B238" s="80" t="s">
        <v>922</v>
      </c>
      <c r="C238" s="71"/>
      <c r="D238" s="71"/>
      <c r="E238" s="71"/>
      <c r="F238" s="71"/>
      <c r="G238" s="71"/>
      <c r="H238" s="71"/>
      <c r="I238" s="71"/>
      <c r="J238" s="83"/>
      <c r="K238" s="83"/>
    </row>
    <row r="239" spans="1:11" ht="29.25" customHeight="1">
      <c r="A239" s="79" t="s">
        <v>449</v>
      </c>
      <c r="B239" s="779" t="s">
        <v>923</v>
      </c>
      <c r="C239" s="779"/>
      <c r="D239" s="779"/>
      <c r="E239" s="779"/>
      <c r="F239" s="779"/>
      <c r="G239" s="779"/>
      <c r="H239" s="779"/>
      <c r="I239" s="779"/>
      <c r="J239" s="87"/>
      <c r="K239" s="83"/>
    </row>
    <row r="240" spans="1:11" ht="32.25" customHeight="1">
      <c r="A240" s="79" t="s">
        <v>86</v>
      </c>
      <c r="B240" s="779" t="s">
        <v>924</v>
      </c>
      <c r="C240" s="779"/>
      <c r="D240" s="779"/>
      <c r="E240" s="779"/>
      <c r="F240" s="779"/>
      <c r="G240" s="779"/>
      <c r="H240" s="779"/>
      <c r="I240" s="779"/>
      <c r="J240" s="83"/>
      <c r="K240" s="83"/>
    </row>
    <row r="241" spans="1:13" ht="27.75" customHeight="1">
      <c r="A241" s="79" t="s">
        <v>87</v>
      </c>
      <c r="B241" s="779" t="s">
        <v>1104</v>
      </c>
      <c r="C241" s="779"/>
      <c r="D241" s="779"/>
      <c r="E241" s="779"/>
      <c r="F241" s="779"/>
      <c r="G241" s="779"/>
      <c r="H241" s="779"/>
      <c r="I241" s="779"/>
      <c r="J241" s="83"/>
      <c r="K241" s="83"/>
    </row>
    <row r="242" spans="1:13" ht="54" customHeight="1">
      <c r="A242" s="79" t="s">
        <v>88</v>
      </c>
      <c r="B242" s="777" t="s">
        <v>925</v>
      </c>
      <c r="C242" s="777"/>
      <c r="D242" s="777"/>
      <c r="E242" s="777"/>
      <c r="F242" s="777"/>
      <c r="G242" s="777"/>
      <c r="H242" s="777"/>
      <c r="I242" s="777"/>
      <c r="J242" s="777"/>
      <c r="K242" s="777"/>
    </row>
    <row r="243" spans="1:13">
      <c r="A243" s="85" t="s">
        <v>2</v>
      </c>
      <c r="B243" s="71" t="s">
        <v>450</v>
      </c>
      <c r="C243" s="71" t="s">
        <v>93</v>
      </c>
      <c r="D243" s="173">
        <v>0.21</v>
      </c>
      <c r="E243" s="71" t="s">
        <v>451</v>
      </c>
      <c r="F243" s="71"/>
      <c r="G243" s="71"/>
      <c r="H243" s="71"/>
      <c r="I243" s="71"/>
      <c r="J243" s="71"/>
      <c r="K243" s="71"/>
      <c r="L243" s="421"/>
      <c r="M243" s="2"/>
    </row>
    <row r="244" spans="1:13">
      <c r="A244" s="85"/>
      <c r="B244" s="71"/>
      <c r="C244" s="71" t="s">
        <v>94</v>
      </c>
      <c r="D244" s="173">
        <v>0</v>
      </c>
      <c r="E244" s="71" t="s">
        <v>95</v>
      </c>
      <c r="F244" s="71"/>
      <c r="G244" s="71"/>
      <c r="H244" s="71"/>
      <c r="I244" s="71"/>
      <c r="J244" s="71"/>
      <c r="K244" s="71"/>
      <c r="L244" s="421"/>
      <c r="M244" s="2"/>
    </row>
    <row r="245" spans="1:13">
      <c r="A245" s="85"/>
      <c r="B245" s="71"/>
      <c r="C245" s="71" t="s">
        <v>96</v>
      </c>
      <c r="D245" s="173">
        <v>0</v>
      </c>
      <c r="E245" s="71" t="s">
        <v>97</v>
      </c>
      <c r="F245" s="71"/>
      <c r="G245" s="71"/>
      <c r="H245" s="71"/>
      <c r="I245" s="71"/>
      <c r="J245" s="71"/>
      <c r="K245" s="71"/>
      <c r="L245" s="421"/>
      <c r="M245" s="2"/>
    </row>
    <row r="246" spans="1:13" ht="24.75" customHeight="1">
      <c r="A246" s="79" t="s">
        <v>452</v>
      </c>
      <c r="B246" s="791" t="s">
        <v>124</v>
      </c>
      <c r="C246" s="791"/>
      <c r="D246" s="791"/>
      <c r="E246" s="791"/>
      <c r="F246" s="791"/>
      <c r="G246" s="791"/>
      <c r="H246" s="791"/>
      <c r="I246" s="791"/>
      <c r="J246" s="83"/>
      <c r="K246" s="83"/>
    </row>
    <row r="247" spans="1:13" ht="27" customHeight="1">
      <c r="A247" s="79" t="s">
        <v>360</v>
      </c>
      <c r="B247" s="779" t="s">
        <v>453</v>
      </c>
      <c r="C247" s="779"/>
      <c r="D247" s="779"/>
      <c r="E247" s="779"/>
      <c r="F247" s="779"/>
      <c r="G247" s="779"/>
      <c r="H247" s="779"/>
      <c r="I247" s="779"/>
      <c r="J247" s="88"/>
      <c r="K247" s="83"/>
    </row>
    <row r="248" spans="1:13" ht="25.5" customHeight="1">
      <c r="A248" s="79" t="s">
        <v>454</v>
      </c>
      <c r="B248" s="789" t="s">
        <v>1074</v>
      </c>
      <c r="C248" s="789"/>
      <c r="D248" s="789"/>
      <c r="E248" s="789"/>
      <c r="F248" s="789"/>
      <c r="G248" s="789"/>
      <c r="H248" s="789"/>
      <c r="I248" s="789"/>
      <c r="J248" s="789"/>
      <c r="K248" s="789"/>
    </row>
    <row r="249" spans="1:13">
      <c r="A249" s="79" t="s">
        <v>455</v>
      </c>
      <c r="B249" s="778" t="s">
        <v>469</v>
      </c>
      <c r="C249" s="778"/>
      <c r="D249" s="778"/>
      <c r="E249" s="778"/>
      <c r="F249" s="778"/>
      <c r="G249" s="778"/>
      <c r="H249" s="778"/>
      <c r="I249" s="778"/>
      <c r="J249" s="86"/>
      <c r="K249" s="86"/>
    </row>
    <row r="250" spans="1:13">
      <c r="A250" s="79" t="s">
        <v>456</v>
      </c>
      <c r="B250" s="774" t="s">
        <v>1083</v>
      </c>
      <c r="C250" s="774"/>
      <c r="D250" s="774"/>
      <c r="E250" s="774"/>
      <c r="F250" s="774"/>
      <c r="G250" s="774"/>
      <c r="H250" s="774"/>
      <c r="I250" s="774"/>
      <c r="J250" s="774"/>
      <c r="K250" s="774"/>
    </row>
    <row r="251" spans="1:13">
      <c r="A251" s="79" t="s">
        <v>457</v>
      </c>
      <c r="B251" s="781" t="s">
        <v>462</v>
      </c>
      <c r="C251" s="781"/>
      <c r="D251" s="781"/>
      <c r="E251" s="781"/>
      <c r="F251" s="781"/>
      <c r="G251" s="781"/>
      <c r="H251" s="781"/>
      <c r="I251" s="781"/>
      <c r="J251" s="83"/>
      <c r="K251" s="83"/>
    </row>
    <row r="252" spans="1:13" ht="15.75" customHeight="1">
      <c r="A252" s="79" t="s">
        <v>89</v>
      </c>
      <c r="B252" s="792" t="s">
        <v>934</v>
      </c>
      <c r="C252" s="792"/>
      <c r="D252" s="792"/>
      <c r="E252" s="792"/>
      <c r="F252" s="792"/>
      <c r="G252" s="792"/>
      <c r="H252" s="792"/>
      <c r="I252" s="792"/>
      <c r="J252" s="89"/>
      <c r="K252" s="89"/>
    </row>
    <row r="253" spans="1:13" ht="29.25" customHeight="1">
      <c r="A253" s="79" t="s">
        <v>458</v>
      </c>
      <c r="B253" s="790" t="s">
        <v>926</v>
      </c>
      <c r="C253" s="790"/>
      <c r="D253" s="790"/>
      <c r="E253" s="790"/>
      <c r="F253" s="790"/>
      <c r="G253" s="790"/>
      <c r="H253" s="790"/>
      <c r="I253" s="790"/>
      <c r="J253" s="83"/>
      <c r="K253" s="83"/>
    </row>
    <row r="254" spans="1:13" ht="26.25" customHeight="1">
      <c r="A254" s="81" t="s">
        <v>459</v>
      </c>
      <c r="B254" s="773" t="s">
        <v>781</v>
      </c>
      <c r="C254" s="773"/>
      <c r="D254" s="773"/>
      <c r="E254" s="773"/>
      <c r="F254" s="773"/>
      <c r="G254" s="773"/>
      <c r="H254" s="773"/>
      <c r="I254" s="773"/>
      <c r="J254" s="91"/>
      <c r="K254" s="91"/>
    </row>
    <row r="255" spans="1:13" ht="27.75" customHeight="1">
      <c r="A255" s="81" t="s">
        <v>460</v>
      </c>
      <c r="B255" s="787" t="s">
        <v>1136</v>
      </c>
      <c r="C255" s="787"/>
      <c r="D255" s="787"/>
      <c r="E255" s="787"/>
      <c r="F255" s="787"/>
      <c r="G255" s="787"/>
      <c r="H255" s="787"/>
      <c r="I255" s="787"/>
      <c r="J255" s="92"/>
      <c r="K255" s="92"/>
    </row>
    <row r="256" spans="1:13" ht="27.75" customHeight="1">
      <c r="A256" s="81" t="s">
        <v>461</v>
      </c>
      <c r="B256" s="773" t="s">
        <v>745</v>
      </c>
      <c r="C256" s="773"/>
      <c r="D256" s="773"/>
      <c r="E256" s="773"/>
      <c r="F256" s="773"/>
      <c r="G256" s="773"/>
      <c r="H256" s="773"/>
      <c r="I256" s="773"/>
      <c r="J256" s="92"/>
      <c r="K256" s="92"/>
    </row>
    <row r="257" spans="1:11" ht="12.75" customHeight="1">
      <c r="A257" s="81" t="s">
        <v>655</v>
      </c>
      <c r="B257" s="773" t="s">
        <v>656</v>
      </c>
      <c r="C257" s="773"/>
      <c r="D257" s="773"/>
      <c r="E257" s="773"/>
      <c r="F257" s="773"/>
      <c r="G257" s="773"/>
      <c r="H257" s="773"/>
      <c r="I257" s="773"/>
      <c r="J257" s="92"/>
      <c r="K257" s="92"/>
    </row>
    <row r="258" spans="1:11" ht="27.75" customHeight="1">
      <c r="A258" s="81" t="s">
        <v>748</v>
      </c>
      <c r="B258" s="773" t="s">
        <v>927</v>
      </c>
      <c r="C258" s="773"/>
      <c r="D258" s="773"/>
      <c r="E258" s="773"/>
      <c r="F258" s="773"/>
      <c r="G258" s="773"/>
      <c r="H258" s="773"/>
      <c r="I258" s="773"/>
      <c r="J258" s="92"/>
      <c r="K258" s="92"/>
    </row>
    <row r="259" spans="1:11" ht="56.25" customHeight="1">
      <c r="A259" s="81" t="s">
        <v>749</v>
      </c>
      <c r="B259" s="773" t="s">
        <v>928</v>
      </c>
      <c r="C259" s="773"/>
      <c r="D259" s="773"/>
      <c r="E259" s="773"/>
      <c r="F259" s="773"/>
      <c r="G259" s="773"/>
      <c r="H259" s="773"/>
      <c r="I259" s="773"/>
      <c r="J259" s="92"/>
      <c r="K259" s="92"/>
    </row>
    <row r="260" spans="1:11">
      <c r="A260" s="81" t="s">
        <v>1028</v>
      </c>
      <c r="B260" s="773" t="s">
        <v>1029</v>
      </c>
      <c r="C260" s="773"/>
      <c r="D260" s="773"/>
      <c r="E260" s="773"/>
      <c r="F260" s="773"/>
      <c r="G260" s="773"/>
      <c r="H260" s="773"/>
      <c r="I260" s="773"/>
      <c r="J260" s="92"/>
      <c r="K260" s="92"/>
    </row>
    <row r="261" spans="1:11" ht="108.75" customHeight="1">
      <c r="A261" s="81" t="s">
        <v>1118</v>
      </c>
      <c r="B261" s="787" t="s">
        <v>1198</v>
      </c>
      <c r="C261" s="787"/>
      <c r="D261" s="787"/>
      <c r="E261" s="787"/>
      <c r="F261" s="787"/>
      <c r="G261" s="787"/>
      <c r="H261" s="787"/>
      <c r="I261" s="787"/>
      <c r="J261" s="92"/>
      <c r="K261" s="92"/>
    </row>
    <row r="262" spans="1:11">
      <c r="A262" s="90"/>
      <c r="C262" s="92"/>
      <c r="D262" s="92"/>
      <c r="E262" s="92"/>
      <c r="F262" s="92"/>
      <c r="G262" s="92"/>
      <c r="H262" s="92"/>
      <c r="I262" s="92"/>
      <c r="J262" s="92"/>
      <c r="K262" s="92"/>
    </row>
    <row r="263" spans="1:11">
      <c r="A263" s="95"/>
      <c r="B263" s="94"/>
      <c r="C263" s="89"/>
      <c r="D263" s="89"/>
      <c r="E263" s="89"/>
      <c r="F263" s="89"/>
      <c r="G263" s="89"/>
      <c r="H263" s="89"/>
      <c r="I263" s="89"/>
      <c r="J263" s="89"/>
      <c r="K263" s="89"/>
    </row>
    <row r="264" spans="1:11">
      <c r="A264" s="95"/>
      <c r="B264" s="89"/>
      <c r="C264" s="89"/>
      <c r="D264" s="89"/>
      <c r="E264" s="89"/>
      <c r="F264" s="89"/>
      <c r="G264" s="89"/>
      <c r="H264" s="89"/>
      <c r="I264" s="89"/>
      <c r="J264" s="89"/>
      <c r="K264" s="89"/>
    </row>
    <row r="265" spans="1:11">
      <c r="A265" s="93"/>
      <c r="B265" s="788"/>
      <c r="C265" s="788"/>
      <c r="D265" s="788"/>
      <c r="E265" s="788"/>
      <c r="F265" s="788"/>
      <c r="G265" s="788"/>
      <c r="H265" s="788"/>
      <c r="I265" s="788"/>
      <c r="J265" s="96"/>
      <c r="K265" s="96"/>
    </row>
    <row r="266" spans="1:11">
      <c r="A266" s="93"/>
    </row>
    <row r="267" spans="1:11">
      <c r="A267" s="93"/>
    </row>
    <row r="268" spans="1:11">
      <c r="A268" s="90"/>
      <c r="B268" s="97"/>
      <c r="C268" s="97"/>
      <c r="D268" s="97"/>
      <c r="E268" s="97"/>
      <c r="F268" s="97"/>
      <c r="G268" s="97"/>
      <c r="H268" s="98"/>
      <c r="I268" s="99"/>
      <c r="J268" s="100"/>
      <c r="K268" s="100"/>
    </row>
    <row r="269" spans="1:11" ht="25.5" customHeight="1">
      <c r="A269" s="90"/>
      <c r="J269" s="101"/>
      <c r="K269" s="101"/>
    </row>
    <row r="270" spans="1:11">
      <c r="A270" s="90"/>
      <c r="B270" s="89"/>
      <c r="C270" s="89"/>
      <c r="D270" s="89"/>
      <c r="E270" s="89"/>
      <c r="F270" s="89"/>
      <c r="G270" s="89"/>
      <c r="H270" s="89"/>
      <c r="I270" s="89"/>
      <c r="J270" s="89"/>
      <c r="K270" s="89"/>
    </row>
    <row r="271" spans="1:11">
      <c r="A271" s="90"/>
      <c r="B271" s="89"/>
      <c r="C271" s="89"/>
      <c r="D271" s="89"/>
      <c r="E271" s="89"/>
      <c r="F271" s="89"/>
      <c r="G271" s="89"/>
      <c r="H271" s="89"/>
      <c r="I271" s="89"/>
      <c r="J271" s="89"/>
      <c r="K271" s="89"/>
    </row>
    <row r="272" spans="1:11">
      <c r="A272" s="90"/>
      <c r="C272" s="89"/>
      <c r="D272" s="89"/>
      <c r="E272" s="89"/>
      <c r="F272" s="89"/>
      <c r="G272" s="89"/>
      <c r="H272" s="89"/>
      <c r="I272" s="89"/>
      <c r="J272" s="89"/>
      <c r="K272" s="89"/>
    </row>
    <row r="273" spans="1:11">
      <c r="A273" s="93"/>
      <c r="B273" s="786"/>
      <c r="C273" s="786"/>
      <c r="D273" s="786"/>
      <c r="E273" s="786"/>
      <c r="F273" s="786"/>
      <c r="G273" s="786"/>
      <c r="H273" s="786"/>
      <c r="I273" s="786"/>
      <c r="J273" s="89"/>
      <c r="K273" s="89"/>
    </row>
    <row r="274" spans="1:11">
      <c r="A274" s="90"/>
      <c r="B274" s="102"/>
      <c r="C274" s="89"/>
      <c r="D274" s="89"/>
      <c r="E274" s="89"/>
      <c r="F274" s="89"/>
      <c r="G274" s="89"/>
      <c r="H274" s="89"/>
      <c r="I274" s="89"/>
      <c r="J274" s="89"/>
      <c r="K274" s="89"/>
    </row>
    <row r="275" spans="1:11">
      <c r="A275" s="89"/>
      <c r="B275" s="102"/>
      <c r="C275" s="89"/>
      <c r="D275" s="89"/>
      <c r="E275" s="89"/>
      <c r="F275" s="89"/>
      <c r="G275" s="89"/>
      <c r="H275" s="89"/>
      <c r="I275" s="89"/>
      <c r="J275" s="89"/>
      <c r="K275" s="89"/>
    </row>
  </sheetData>
  <sheetProtection formatCells="0" formatColumns="0"/>
  <mergeCells count="44">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 ref="G161:K161"/>
    <mergeCell ref="A217:C217"/>
    <mergeCell ref="G217:K217"/>
    <mergeCell ref="F157:K157"/>
    <mergeCell ref="I1:K1"/>
    <mergeCell ref="J2:K2"/>
    <mergeCell ref="I158:K158"/>
    <mergeCell ref="I93:K93"/>
    <mergeCell ref="J94:K94"/>
    <mergeCell ref="I32:K32"/>
    <mergeCell ref="J33:K33"/>
    <mergeCell ref="F12:G12"/>
    <mergeCell ref="L1:R1"/>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 ref="J159:K159"/>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I32 I158 I93 D191:D193 I22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U61"/>
  <sheetViews>
    <sheetView zoomScale="85" zoomScaleNormal="85" workbookViewId="0">
      <selection activeCell="A64" sqref="A64"/>
    </sheetView>
  </sheetViews>
  <sheetFormatPr defaultColWidth="8.81640625" defaultRowHeight="13.2"/>
  <cols>
    <col min="1" max="1" width="4.81640625" style="2" bestFit="1" customWidth="1"/>
    <col min="2" max="2" width="12.7265625" style="2" customWidth="1"/>
    <col min="3" max="3" width="24.08984375" style="2" customWidth="1"/>
    <col min="4" max="4" width="7.54296875" style="2" bestFit="1" customWidth="1"/>
    <col min="5" max="5" width="9.54296875" style="2" bestFit="1" customWidth="1"/>
    <col min="6" max="6" width="9" style="2" customWidth="1"/>
    <col min="7" max="7" width="10.7265625" style="2" customWidth="1"/>
    <col min="8" max="12" width="9" style="2" customWidth="1"/>
    <col min="13" max="13" width="8.08984375" style="2" customWidth="1"/>
    <col min="14" max="14" width="9.1796875" style="2" bestFit="1" customWidth="1"/>
    <col min="15" max="15" width="12.453125" style="2" customWidth="1"/>
    <col min="16" max="16" width="12.54296875" style="2" customWidth="1"/>
    <col min="17" max="16384" width="8.81640625" style="2"/>
  </cols>
  <sheetData>
    <row r="1" spans="1:21">
      <c r="A1" s="793" t="s">
        <v>531</v>
      </c>
      <c r="B1" s="793"/>
      <c r="C1" s="793"/>
      <c r="D1" s="793"/>
      <c r="E1" s="793"/>
      <c r="F1" s="793"/>
      <c r="G1" s="793"/>
      <c r="H1" s="793"/>
      <c r="I1" s="793"/>
      <c r="J1" s="793"/>
      <c r="K1" s="793"/>
      <c r="L1" s="793"/>
      <c r="M1" s="793"/>
      <c r="N1" s="793"/>
      <c r="O1" s="772"/>
      <c r="P1" s="772"/>
      <c r="Q1" s="772"/>
      <c r="R1" s="772"/>
      <c r="S1" s="772"/>
      <c r="T1" s="772"/>
      <c r="U1" s="772"/>
    </row>
    <row r="2" spans="1:21">
      <c r="A2" s="794" t="s">
        <v>222</v>
      </c>
      <c r="B2" s="794"/>
      <c r="C2" s="794"/>
      <c r="D2" s="794"/>
      <c r="E2" s="794"/>
      <c r="F2" s="794"/>
      <c r="G2" s="794"/>
      <c r="H2" s="794"/>
      <c r="I2" s="794"/>
      <c r="J2" s="794"/>
      <c r="K2" s="794"/>
      <c r="L2" s="794"/>
      <c r="M2" s="794"/>
      <c r="N2" s="794"/>
    </row>
    <row r="3" spans="1:21">
      <c r="A3" s="794" t="str">
        <f>'Act Att-H'!C7</f>
        <v>Cheyenne Light, Fuel &amp; Power</v>
      </c>
      <c r="B3" s="794"/>
      <c r="C3" s="794"/>
      <c r="D3" s="794"/>
      <c r="E3" s="794"/>
      <c r="F3" s="794"/>
      <c r="G3" s="794"/>
      <c r="H3" s="794"/>
      <c r="I3" s="794"/>
      <c r="J3" s="794"/>
      <c r="K3" s="794"/>
      <c r="L3" s="794"/>
      <c r="M3" s="794"/>
      <c r="N3" s="794"/>
    </row>
    <row r="4" spans="1:21">
      <c r="B4" s="446"/>
      <c r="C4" s="446"/>
      <c r="D4" s="446"/>
      <c r="E4" s="446"/>
      <c r="F4" s="446"/>
      <c r="G4" s="446"/>
      <c r="H4" s="446"/>
      <c r="I4" s="446"/>
      <c r="J4" s="446"/>
      <c r="K4" s="446"/>
      <c r="M4" s="2" t="s">
        <v>673</v>
      </c>
    </row>
    <row r="5" spans="1:21">
      <c r="A5" s="126" t="s">
        <v>154</v>
      </c>
      <c r="B5" s="129" t="s">
        <v>475</v>
      </c>
      <c r="C5" s="71"/>
      <c r="D5" s="103"/>
      <c r="E5" s="71"/>
      <c r="F5" s="71"/>
      <c r="G5" s="451"/>
      <c r="H5" s="71"/>
      <c r="I5" s="152"/>
      <c r="J5" s="103"/>
      <c r="K5" s="452"/>
    </row>
    <row r="6" spans="1:21">
      <c r="B6" s="453"/>
      <c r="C6" s="103"/>
      <c r="D6" s="454"/>
      <c r="E6" s="103"/>
      <c r="F6" s="103"/>
      <c r="G6" s="103"/>
      <c r="H6" s="103"/>
      <c r="I6" s="103"/>
      <c r="J6" s="103"/>
    </row>
    <row r="7" spans="1:21">
      <c r="A7" s="5">
        <v>1</v>
      </c>
      <c r="B7" s="455" t="s">
        <v>221</v>
      </c>
      <c r="C7" s="455" t="s">
        <v>191</v>
      </c>
      <c r="D7" s="456"/>
      <c r="E7" s="455" t="s">
        <v>9</v>
      </c>
      <c r="F7" s="455" t="s">
        <v>216</v>
      </c>
      <c r="G7" s="455" t="s">
        <v>240</v>
      </c>
      <c r="H7" s="796" t="s">
        <v>10</v>
      </c>
      <c r="I7" s="796"/>
      <c r="J7" s="455" t="s">
        <v>9</v>
      </c>
    </row>
    <row r="8" spans="1:21">
      <c r="A8" s="5">
        <f>A7+1</f>
        <v>2</v>
      </c>
      <c r="E8" s="27" t="s">
        <v>157</v>
      </c>
      <c r="F8" s="458" t="s">
        <v>158</v>
      </c>
      <c r="G8" s="458" t="s">
        <v>159</v>
      </c>
      <c r="H8" s="795" t="s">
        <v>160</v>
      </c>
      <c r="I8" s="795"/>
      <c r="J8" s="458" t="s">
        <v>705</v>
      </c>
    </row>
    <row r="9" spans="1:21">
      <c r="A9" s="5">
        <f t="shared" ref="A9:A57" si="0">A8+1</f>
        <v>3</v>
      </c>
      <c r="B9" s="459" t="s">
        <v>217</v>
      </c>
      <c r="C9" s="460"/>
      <c r="F9" s="460"/>
      <c r="G9" s="460"/>
      <c r="H9" s="103"/>
    </row>
    <row r="10" spans="1:21">
      <c r="A10" s="5">
        <f t="shared" si="0"/>
        <v>4</v>
      </c>
      <c r="B10" s="461">
        <v>45400</v>
      </c>
      <c r="C10" s="460" t="s">
        <v>218</v>
      </c>
      <c r="E10" s="212">
        <v>0</v>
      </c>
      <c r="F10" s="220">
        <v>0</v>
      </c>
      <c r="G10" s="220">
        <f>SUM(E10:F10)</f>
        <v>0</v>
      </c>
      <c r="H10" s="597" t="s">
        <v>11</v>
      </c>
      <c r="I10" s="162">
        <f>'Act Att-H'!I174</f>
        <v>0.94026910793059781</v>
      </c>
      <c r="J10" s="220">
        <f>G10*I10</f>
        <v>0</v>
      </c>
      <c r="K10" s="446"/>
      <c r="O10" s="421"/>
    </row>
    <row r="11" spans="1:21">
      <c r="A11" s="5">
        <f t="shared" si="0"/>
        <v>5</v>
      </c>
      <c r="B11" s="461">
        <v>45400</v>
      </c>
      <c r="C11" s="460" t="s">
        <v>219</v>
      </c>
      <c r="E11" s="462">
        <v>1156975</v>
      </c>
      <c r="F11" s="460">
        <v>0</v>
      </c>
      <c r="G11" s="460">
        <f>SUM(E11:F11)</f>
        <v>1156975</v>
      </c>
      <c r="H11" s="27" t="s">
        <v>67</v>
      </c>
      <c r="I11" s="162">
        <f>'Act Att-H'!K195</f>
        <v>8.1904195946416361E-2</v>
      </c>
      <c r="J11" s="220">
        <f>G11*I11</f>
        <v>94761.107105105068</v>
      </c>
      <c r="O11" s="421"/>
      <c r="P11" s="425"/>
    </row>
    <row r="12" spans="1:21">
      <c r="A12" s="5">
        <f t="shared" si="0"/>
        <v>6</v>
      </c>
      <c r="B12" s="463" t="s">
        <v>220</v>
      </c>
      <c r="C12" s="463"/>
      <c r="D12" s="464"/>
      <c r="E12" s="437">
        <f>SUM(E10:E11)</f>
        <v>1156975</v>
      </c>
      <c r="F12" s="437">
        <f>SUM(F10:F11)</f>
        <v>0</v>
      </c>
      <c r="G12" s="437">
        <f>SUM(G10:G11)</f>
        <v>1156975</v>
      </c>
      <c r="H12" s="464"/>
      <c r="I12" s="598"/>
      <c r="J12" s="599">
        <f>SUM(J10:J11)</f>
        <v>94761.107105105068</v>
      </c>
    </row>
    <row r="13" spans="1:21">
      <c r="A13" s="5">
        <f t="shared" si="0"/>
        <v>7</v>
      </c>
      <c r="B13" s="465"/>
      <c r="C13" s="466"/>
      <c r="D13" s="466"/>
      <c r="E13" s="103"/>
      <c r="F13" s="103"/>
      <c r="G13" s="103"/>
      <c r="H13" s="457"/>
    </row>
    <row r="14" spans="1:21">
      <c r="A14" s="5">
        <f t="shared" si="0"/>
        <v>8</v>
      </c>
    </row>
    <row r="15" spans="1:21">
      <c r="A15" s="5">
        <f t="shared" si="0"/>
        <v>9</v>
      </c>
      <c r="B15" s="129" t="s">
        <v>805</v>
      </c>
      <c r="C15" s="71"/>
      <c r="D15" s="71"/>
      <c r="E15" s="71"/>
      <c r="F15" s="71"/>
      <c r="G15" s="71"/>
      <c r="H15" s="71"/>
      <c r="I15" s="152"/>
      <c r="J15" s="103"/>
      <c r="K15" s="452"/>
    </row>
    <row r="16" spans="1:21">
      <c r="A16" s="5">
        <f t="shared" si="0"/>
        <v>10</v>
      </c>
      <c r="F16" s="186"/>
      <c r="G16" s="186"/>
      <c r="H16" s="186" t="s">
        <v>234</v>
      </c>
      <c r="I16" s="186" t="s">
        <v>175</v>
      </c>
      <c r="K16" s="186"/>
      <c r="L16" s="186" t="s">
        <v>237</v>
      </c>
      <c r="M16" s="186"/>
      <c r="N16" s="186"/>
    </row>
    <row r="17" spans="1:16">
      <c r="A17" s="5">
        <f t="shared" si="0"/>
        <v>11</v>
      </c>
      <c r="B17" s="427"/>
      <c r="F17" s="186"/>
      <c r="G17" s="186"/>
      <c r="H17" s="186" t="s">
        <v>176</v>
      </c>
      <c r="I17" s="186" t="s">
        <v>177</v>
      </c>
      <c r="J17" s="186" t="s">
        <v>235</v>
      </c>
      <c r="K17" s="186" t="s">
        <v>237</v>
      </c>
      <c r="L17" s="186" t="s">
        <v>179</v>
      </c>
      <c r="M17" s="186" t="s">
        <v>239</v>
      </c>
      <c r="N17" s="186"/>
    </row>
    <row r="18" spans="1:16">
      <c r="A18" s="5">
        <f t="shared" si="0"/>
        <v>12</v>
      </c>
      <c r="F18" s="186" t="s">
        <v>232</v>
      </c>
      <c r="G18" s="186" t="s">
        <v>180</v>
      </c>
      <c r="H18" s="186" t="s">
        <v>181</v>
      </c>
      <c r="I18" s="186" t="s">
        <v>182</v>
      </c>
      <c r="J18" s="186" t="s">
        <v>178</v>
      </c>
      <c r="K18" s="186" t="s">
        <v>183</v>
      </c>
      <c r="L18" s="186" t="s">
        <v>184</v>
      </c>
      <c r="M18" s="186" t="s">
        <v>184</v>
      </c>
      <c r="N18" s="186"/>
    </row>
    <row r="19" spans="1:16">
      <c r="A19" s="5">
        <f t="shared" si="0"/>
        <v>13</v>
      </c>
      <c r="F19" s="186" t="s">
        <v>233</v>
      </c>
      <c r="G19" s="186" t="s">
        <v>231</v>
      </c>
      <c r="H19" s="186" t="s">
        <v>185</v>
      </c>
      <c r="I19" s="186" t="s">
        <v>186</v>
      </c>
      <c r="J19" s="186" t="s">
        <v>236</v>
      </c>
      <c r="K19" s="186" t="s">
        <v>238</v>
      </c>
      <c r="L19" s="186" t="s">
        <v>187</v>
      </c>
      <c r="M19" s="186" t="s">
        <v>187</v>
      </c>
      <c r="N19" s="186" t="s">
        <v>188</v>
      </c>
    </row>
    <row r="20" spans="1:16">
      <c r="A20" s="5">
        <f t="shared" si="0"/>
        <v>14</v>
      </c>
      <c r="B20" s="186"/>
      <c r="C20" s="186"/>
      <c r="D20" s="186" t="s">
        <v>189</v>
      </c>
      <c r="E20" s="186" t="s">
        <v>556</v>
      </c>
      <c r="F20" s="186" t="s">
        <v>223</v>
      </c>
      <c r="G20" s="186" t="s">
        <v>224</v>
      </c>
      <c r="H20" s="186" t="s">
        <v>225</v>
      </c>
      <c r="I20" s="186" t="s">
        <v>226</v>
      </c>
      <c r="J20" s="186" t="s">
        <v>227</v>
      </c>
      <c r="K20" s="186" t="s">
        <v>228</v>
      </c>
      <c r="L20" s="186" t="s">
        <v>229</v>
      </c>
      <c r="M20" s="186" t="s">
        <v>230</v>
      </c>
      <c r="N20" s="186" t="s">
        <v>4</v>
      </c>
      <c r="P20" s="757"/>
    </row>
    <row r="21" spans="1:16">
      <c r="A21" s="5">
        <f t="shared" si="0"/>
        <v>15</v>
      </c>
      <c r="B21" s="455" t="s">
        <v>190</v>
      </c>
      <c r="C21" s="455" t="s">
        <v>191</v>
      </c>
      <c r="D21" s="467" t="s">
        <v>192</v>
      </c>
      <c r="E21" s="467" t="s">
        <v>557</v>
      </c>
      <c r="F21" s="455"/>
      <c r="G21" s="455"/>
      <c r="H21" s="455"/>
      <c r="I21" s="455"/>
      <c r="J21" s="455"/>
      <c r="K21" s="455"/>
      <c r="L21" s="455"/>
      <c r="M21" s="455"/>
      <c r="N21" s="455" t="s">
        <v>193</v>
      </c>
    </row>
    <row r="22" spans="1:16">
      <c r="A22" s="5">
        <f t="shared" si="0"/>
        <v>16</v>
      </c>
      <c r="E22" s="27" t="s">
        <v>157</v>
      </c>
      <c r="F22" s="27" t="s">
        <v>158</v>
      </c>
      <c r="G22" s="27" t="s">
        <v>159</v>
      </c>
      <c r="H22" s="27" t="s">
        <v>160</v>
      </c>
      <c r="I22" s="27" t="s">
        <v>161</v>
      </c>
      <c r="J22" s="27" t="s">
        <v>162</v>
      </c>
      <c r="K22" s="27" t="s">
        <v>163</v>
      </c>
      <c r="L22" s="27" t="s">
        <v>164</v>
      </c>
      <c r="M22" s="27" t="s">
        <v>194</v>
      </c>
      <c r="N22" s="27" t="s">
        <v>195</v>
      </c>
      <c r="O22" s="27"/>
    </row>
    <row r="23" spans="1:16">
      <c r="A23" s="5">
        <f t="shared" si="0"/>
        <v>17</v>
      </c>
    </row>
    <row r="24" spans="1:16">
      <c r="A24" s="5">
        <f t="shared" si="0"/>
        <v>18</v>
      </c>
      <c r="B24" s="468" t="s">
        <v>196</v>
      </c>
      <c r="C24" s="468" t="s">
        <v>1229</v>
      </c>
      <c r="D24" s="469" t="s">
        <v>1233</v>
      </c>
      <c r="E24" s="470"/>
      <c r="F24" s="471"/>
      <c r="G24" s="472"/>
      <c r="H24" s="471"/>
      <c r="I24" s="471">
        <v>635638</v>
      </c>
      <c r="J24" s="471"/>
      <c r="K24" s="471"/>
      <c r="L24" s="471"/>
      <c r="M24" s="471"/>
      <c r="N24" s="471">
        <f>SUM(F24:M24)</f>
        <v>635638</v>
      </c>
      <c r="O24" s="421"/>
    </row>
    <row r="25" spans="1:16">
      <c r="A25" s="5">
        <f t="shared" si="0"/>
        <v>19</v>
      </c>
      <c r="B25" s="468" t="s">
        <v>196</v>
      </c>
      <c r="C25" s="468" t="s">
        <v>1230</v>
      </c>
      <c r="D25" s="469" t="s">
        <v>1232</v>
      </c>
      <c r="E25" s="470"/>
      <c r="F25" s="471">
        <v>1625</v>
      </c>
      <c r="G25" s="471"/>
      <c r="H25" s="471"/>
      <c r="I25" s="471">
        <v>375</v>
      </c>
      <c r="J25" s="471"/>
      <c r="K25" s="471"/>
      <c r="L25" s="471"/>
      <c r="M25" s="471"/>
      <c r="N25" s="471">
        <f>SUM(F25:M25)</f>
        <v>2000</v>
      </c>
      <c r="O25" s="421"/>
    </row>
    <row r="26" spans="1:16">
      <c r="A26" s="5">
        <f t="shared" si="0"/>
        <v>20</v>
      </c>
      <c r="B26" s="468" t="s">
        <v>196</v>
      </c>
      <c r="C26" s="468" t="s">
        <v>1239</v>
      </c>
      <c r="D26" s="469"/>
      <c r="E26" s="470"/>
      <c r="F26" s="471"/>
      <c r="G26" s="472"/>
      <c r="H26" s="471"/>
      <c r="I26" s="471">
        <v>253030</v>
      </c>
      <c r="J26" s="471"/>
      <c r="K26" s="471"/>
      <c r="L26" s="471"/>
      <c r="M26" s="471"/>
      <c r="N26" s="471">
        <f>SUM(F26:M26)</f>
        <v>253030</v>
      </c>
      <c r="O26" s="421"/>
    </row>
    <row r="27" spans="1:16">
      <c r="A27" s="5">
        <f t="shared" si="0"/>
        <v>21</v>
      </c>
      <c r="B27" s="468"/>
      <c r="C27" s="468"/>
      <c r="D27" s="469"/>
      <c r="E27" s="470"/>
      <c r="F27" s="471"/>
      <c r="G27" s="471"/>
      <c r="H27" s="471"/>
      <c r="I27" s="471"/>
      <c r="J27" s="471"/>
      <c r="K27" s="471"/>
      <c r="L27" s="471"/>
      <c r="M27" s="471"/>
      <c r="N27" s="471"/>
      <c r="O27" s="421"/>
    </row>
    <row r="28" spans="1:16">
      <c r="A28" s="5">
        <f t="shared" si="0"/>
        <v>22</v>
      </c>
      <c r="B28" s="468"/>
      <c r="C28" s="468"/>
      <c r="D28" s="469"/>
      <c r="E28" s="470"/>
      <c r="F28" s="471"/>
      <c r="G28" s="471"/>
      <c r="H28" s="471"/>
      <c r="I28" s="471"/>
      <c r="J28" s="471"/>
      <c r="K28" s="471"/>
      <c r="L28" s="471"/>
      <c r="M28" s="471"/>
      <c r="N28" s="471"/>
      <c r="O28" s="421"/>
    </row>
    <row r="29" spans="1:16">
      <c r="A29" s="5">
        <f t="shared" si="0"/>
        <v>23</v>
      </c>
      <c r="B29" s="468"/>
      <c r="C29" s="468"/>
      <c r="D29" s="468"/>
      <c r="E29" s="470"/>
      <c r="F29" s="471"/>
      <c r="G29" s="471"/>
      <c r="H29" s="471"/>
      <c r="I29" s="471"/>
      <c r="J29" s="471"/>
      <c r="K29" s="471"/>
      <c r="L29" s="471"/>
      <c r="M29" s="471"/>
      <c r="N29" s="471"/>
      <c r="O29" s="421"/>
    </row>
    <row r="30" spans="1:16">
      <c r="A30" s="5">
        <f t="shared" si="0"/>
        <v>24</v>
      </c>
      <c r="B30" s="468"/>
      <c r="C30" s="468"/>
      <c r="D30" s="469"/>
      <c r="E30" s="470"/>
      <c r="F30" s="471"/>
      <c r="G30" s="471"/>
      <c r="H30" s="471"/>
      <c r="I30" s="471"/>
      <c r="J30" s="471"/>
      <c r="K30" s="471"/>
      <c r="L30" s="471"/>
      <c r="M30" s="471"/>
      <c r="N30" s="471"/>
      <c r="O30" s="421"/>
    </row>
    <row r="31" spans="1:16">
      <c r="A31" s="5">
        <f t="shared" si="0"/>
        <v>25</v>
      </c>
      <c r="B31" s="468"/>
      <c r="C31" s="468"/>
      <c r="D31" s="469"/>
      <c r="E31" s="470"/>
      <c r="F31" s="471"/>
      <c r="G31" s="471"/>
      <c r="H31" s="471"/>
      <c r="I31" s="471"/>
      <c r="J31" s="471"/>
      <c r="K31" s="471"/>
      <c r="L31" s="471"/>
      <c r="M31" s="471"/>
      <c r="N31" s="471"/>
      <c r="O31" s="421"/>
    </row>
    <row r="32" spans="1:16">
      <c r="A32" s="5">
        <f t="shared" si="0"/>
        <v>26</v>
      </c>
      <c r="B32" s="468"/>
      <c r="C32" s="468"/>
      <c r="D32" s="469"/>
      <c r="E32" s="470"/>
      <c r="F32" s="471"/>
      <c r="G32" s="471"/>
      <c r="H32" s="471"/>
      <c r="I32" s="471"/>
      <c r="J32" s="471"/>
      <c r="K32" s="471"/>
      <c r="L32" s="471"/>
      <c r="M32" s="471"/>
      <c r="N32" s="471"/>
      <c r="O32" s="421"/>
    </row>
    <row r="33" spans="1:16">
      <c r="A33" s="5">
        <f t="shared" si="0"/>
        <v>27</v>
      </c>
      <c r="B33" s="468"/>
      <c r="C33" s="468"/>
      <c r="D33" s="469"/>
      <c r="E33" s="470"/>
      <c r="F33" s="471"/>
      <c r="G33" s="471"/>
      <c r="H33" s="471"/>
      <c r="I33" s="471"/>
      <c r="J33" s="471"/>
      <c r="K33" s="471"/>
      <c r="L33" s="471"/>
      <c r="M33" s="471"/>
      <c r="N33" s="471"/>
      <c r="O33" s="421"/>
    </row>
    <row r="34" spans="1:16">
      <c r="A34" s="5">
        <f t="shared" si="0"/>
        <v>28</v>
      </c>
      <c r="B34" s="468"/>
      <c r="C34" s="468"/>
      <c r="D34" s="468"/>
      <c r="E34" s="470"/>
      <c r="F34" s="471"/>
      <c r="G34" s="471"/>
      <c r="H34" s="471"/>
      <c r="I34" s="471"/>
      <c r="J34" s="471"/>
      <c r="K34" s="471"/>
      <c r="L34" s="471"/>
      <c r="M34" s="471"/>
      <c r="N34" s="471"/>
      <c r="O34" s="421"/>
    </row>
    <row r="35" spans="1:16">
      <c r="A35" s="5">
        <f t="shared" si="0"/>
        <v>29</v>
      </c>
      <c r="B35" s="468"/>
      <c r="C35" s="468"/>
      <c r="D35" s="468"/>
      <c r="E35" s="470"/>
      <c r="F35" s="471"/>
      <c r="G35" s="471"/>
      <c r="H35" s="471"/>
      <c r="I35" s="471"/>
      <c r="J35" s="471"/>
      <c r="K35" s="471"/>
      <c r="L35" s="471"/>
      <c r="M35" s="471"/>
      <c r="N35" s="471"/>
      <c r="O35" s="421"/>
    </row>
    <row r="36" spans="1:16">
      <c r="A36" s="5">
        <f t="shared" si="0"/>
        <v>30</v>
      </c>
      <c r="B36" s="468"/>
      <c r="C36" s="468"/>
      <c r="D36" s="468"/>
      <c r="E36" s="468"/>
      <c r="F36" s="471"/>
      <c r="G36" s="471"/>
      <c r="H36" s="471"/>
      <c r="I36" s="471"/>
      <c r="J36" s="471"/>
      <c r="K36" s="471"/>
      <c r="L36" s="471"/>
      <c r="M36" s="471"/>
      <c r="N36" s="471"/>
      <c r="O36" s="421"/>
      <c r="P36" s="758"/>
    </row>
    <row r="37" spans="1:16">
      <c r="A37" s="5">
        <f t="shared" si="0"/>
        <v>31</v>
      </c>
      <c r="B37" s="468"/>
      <c r="C37" s="468"/>
      <c r="D37" s="468"/>
      <c r="E37" s="470"/>
      <c r="F37" s="471"/>
      <c r="G37" s="471"/>
      <c r="H37" s="471"/>
      <c r="I37" s="471"/>
      <c r="J37" s="471"/>
      <c r="K37" s="471"/>
      <c r="L37" s="471"/>
      <c r="M37" s="471"/>
      <c r="N37" s="471"/>
      <c r="O37" s="421"/>
    </row>
    <row r="38" spans="1:16">
      <c r="A38" s="5">
        <f t="shared" si="0"/>
        <v>32</v>
      </c>
      <c r="B38" s="468"/>
      <c r="C38" s="468"/>
      <c r="D38" s="469"/>
      <c r="E38" s="470"/>
      <c r="F38" s="471"/>
      <c r="G38" s="471"/>
      <c r="H38" s="471"/>
      <c r="I38" s="471"/>
      <c r="J38" s="471"/>
      <c r="K38" s="471"/>
      <c r="L38" s="471"/>
      <c r="M38" s="471"/>
      <c r="N38" s="471"/>
      <c r="O38" s="421"/>
    </row>
    <row r="39" spans="1:16">
      <c r="A39" s="5">
        <f t="shared" si="0"/>
        <v>33</v>
      </c>
      <c r="B39" s="468"/>
      <c r="C39" s="468"/>
      <c r="D39" s="469"/>
      <c r="E39" s="470"/>
      <c r="F39" s="471"/>
      <c r="G39" s="471"/>
      <c r="H39" s="471"/>
      <c r="I39" s="471"/>
      <c r="J39" s="471"/>
      <c r="K39" s="471"/>
      <c r="L39" s="471"/>
      <c r="M39" s="471"/>
      <c r="N39" s="471"/>
      <c r="O39" s="421"/>
    </row>
    <row r="40" spans="1:16">
      <c r="A40" s="5">
        <f t="shared" si="0"/>
        <v>34</v>
      </c>
      <c r="B40" s="468"/>
      <c r="C40" s="468"/>
      <c r="D40" s="469"/>
      <c r="E40" s="470"/>
      <c r="F40" s="471"/>
      <c r="G40" s="471"/>
      <c r="H40" s="471"/>
      <c r="I40" s="471"/>
      <c r="J40" s="471"/>
      <c r="K40" s="471"/>
      <c r="L40" s="471"/>
      <c r="M40" s="471"/>
      <c r="N40" s="471"/>
      <c r="O40" s="421"/>
    </row>
    <row r="41" spans="1:16">
      <c r="A41" s="5">
        <f t="shared" si="0"/>
        <v>35</v>
      </c>
      <c r="B41" s="468"/>
      <c r="C41" s="468"/>
      <c r="D41" s="469"/>
      <c r="E41" s="470"/>
      <c r="F41" s="471"/>
      <c r="G41" s="471"/>
      <c r="H41" s="471"/>
      <c r="I41" s="471"/>
      <c r="J41" s="471"/>
      <c r="K41" s="471"/>
      <c r="L41" s="471"/>
      <c r="M41" s="471"/>
      <c r="N41" s="471"/>
      <c r="O41" s="421"/>
    </row>
    <row r="42" spans="1:16">
      <c r="A42" s="5">
        <f t="shared" si="0"/>
        <v>36</v>
      </c>
      <c r="B42" s="468"/>
      <c r="C42" s="468"/>
      <c r="D42" s="468"/>
      <c r="E42" s="470"/>
      <c r="F42" s="471"/>
      <c r="G42" s="471"/>
      <c r="H42" s="471"/>
      <c r="I42" s="471"/>
      <c r="J42" s="471"/>
      <c r="K42" s="471"/>
      <c r="L42" s="471"/>
      <c r="M42" s="471"/>
      <c r="N42" s="471"/>
      <c r="O42" s="421"/>
    </row>
    <row r="43" spans="1:16">
      <c r="A43" s="5">
        <f t="shared" si="0"/>
        <v>37</v>
      </c>
      <c r="B43" s="468"/>
      <c r="C43" s="468"/>
      <c r="D43" s="468"/>
      <c r="E43" s="470"/>
      <c r="F43" s="471"/>
      <c r="G43" s="471"/>
      <c r="H43" s="471"/>
      <c r="I43" s="471"/>
      <c r="J43" s="471"/>
      <c r="K43" s="471"/>
      <c r="L43" s="471"/>
      <c r="M43" s="471"/>
      <c r="N43" s="471"/>
      <c r="O43" s="421"/>
    </row>
    <row r="44" spans="1:16">
      <c r="A44" s="5">
        <f t="shared" si="0"/>
        <v>38</v>
      </c>
      <c r="B44" s="473"/>
      <c r="C44" s="473"/>
      <c r="D44" s="473"/>
      <c r="E44" s="473"/>
      <c r="F44" s="474"/>
      <c r="G44" s="474"/>
      <c r="H44" s="474"/>
      <c r="I44" s="474"/>
      <c r="J44" s="474"/>
      <c r="K44" s="474"/>
      <c r="L44" s="474"/>
      <c r="M44" s="474"/>
      <c r="N44" s="474"/>
      <c r="O44" s="421"/>
    </row>
    <row r="45" spans="1:16">
      <c r="A45" s="5">
        <f t="shared" si="0"/>
        <v>39</v>
      </c>
      <c r="B45" s="464"/>
      <c r="C45" s="464" t="s">
        <v>9</v>
      </c>
      <c r="D45" s="464"/>
      <c r="E45" s="475"/>
      <c r="F45" s="475">
        <f t="shared" ref="F45:N45" si="1">SUM(F24:F44)</f>
        <v>1625</v>
      </c>
      <c r="G45" s="475">
        <f t="shared" si="1"/>
        <v>0</v>
      </c>
      <c r="H45" s="475">
        <f t="shared" si="1"/>
        <v>0</v>
      </c>
      <c r="I45" s="475">
        <f t="shared" si="1"/>
        <v>889043</v>
      </c>
      <c r="J45" s="475">
        <f t="shared" si="1"/>
        <v>0</v>
      </c>
      <c r="K45" s="475">
        <f t="shared" si="1"/>
        <v>0</v>
      </c>
      <c r="L45" s="475">
        <f t="shared" si="1"/>
        <v>0</v>
      </c>
      <c r="M45" s="475">
        <f t="shared" si="1"/>
        <v>0</v>
      </c>
      <c r="N45" s="475">
        <f t="shared" si="1"/>
        <v>890668</v>
      </c>
      <c r="O45" s="759"/>
    </row>
    <row r="46" spans="1:16">
      <c r="A46" s="5">
        <f t="shared" si="0"/>
        <v>40</v>
      </c>
      <c r="E46" s="213"/>
      <c r="F46" s="476"/>
      <c r="G46" s="476"/>
      <c r="H46" s="476"/>
      <c r="I46" s="476"/>
      <c r="J46" s="476"/>
      <c r="K46" s="476"/>
      <c r="L46" s="476"/>
      <c r="M46" s="476"/>
      <c r="N46" s="476"/>
      <c r="O46" s="759"/>
    </row>
    <row r="47" spans="1:16">
      <c r="A47" s="5">
        <f t="shared" si="0"/>
        <v>41</v>
      </c>
      <c r="B47" s="477" t="s">
        <v>199</v>
      </c>
      <c r="E47" s="478"/>
      <c r="F47" s="476"/>
      <c r="G47" s="476"/>
      <c r="H47" s="476"/>
      <c r="I47" s="476"/>
      <c r="J47" s="476"/>
      <c r="K47" s="476"/>
      <c r="L47" s="476"/>
      <c r="M47" s="476"/>
      <c r="N47" s="476"/>
    </row>
    <row r="48" spans="1:16" s="427" customFormat="1" ht="15" customHeight="1">
      <c r="A48" s="5">
        <f t="shared" si="0"/>
        <v>42</v>
      </c>
      <c r="B48" s="2" t="s">
        <v>196</v>
      </c>
      <c r="C48" s="2"/>
      <c r="D48" s="2"/>
      <c r="E48" s="2"/>
      <c r="F48" s="476">
        <f t="shared" ref="F48:N51" si="2">SUMIF($B$24:$B$44,$B48,F$24:F$44)</f>
        <v>1625</v>
      </c>
      <c r="G48" s="476">
        <f t="shared" si="2"/>
        <v>0</v>
      </c>
      <c r="H48" s="476">
        <f t="shared" si="2"/>
        <v>0</v>
      </c>
      <c r="I48" s="476">
        <f t="shared" si="2"/>
        <v>889043</v>
      </c>
      <c r="J48" s="476">
        <f t="shared" si="2"/>
        <v>0</v>
      </c>
      <c r="K48" s="476">
        <f t="shared" si="2"/>
        <v>0</v>
      </c>
      <c r="L48" s="476">
        <f t="shared" si="2"/>
        <v>0</v>
      </c>
      <c r="M48" s="476">
        <f t="shared" si="2"/>
        <v>0</v>
      </c>
      <c r="N48" s="476">
        <f t="shared" si="2"/>
        <v>890668</v>
      </c>
    </row>
    <row r="49" spans="1:14">
      <c r="A49" s="5">
        <f t="shared" si="0"/>
        <v>43</v>
      </c>
      <c r="B49" s="2" t="s">
        <v>197</v>
      </c>
      <c r="F49" s="476">
        <f t="shared" si="2"/>
        <v>0</v>
      </c>
      <c r="G49" s="476">
        <f t="shared" si="2"/>
        <v>0</v>
      </c>
      <c r="H49" s="476">
        <f t="shared" si="2"/>
        <v>0</v>
      </c>
      <c r="I49" s="476">
        <f t="shared" si="2"/>
        <v>0</v>
      </c>
      <c r="J49" s="476">
        <f t="shared" si="2"/>
        <v>0</v>
      </c>
      <c r="K49" s="476">
        <f t="shared" si="2"/>
        <v>0</v>
      </c>
      <c r="L49" s="476">
        <f t="shared" si="2"/>
        <v>0</v>
      </c>
      <c r="M49" s="476">
        <f t="shared" si="2"/>
        <v>0</v>
      </c>
      <c r="N49" s="476">
        <f t="shared" si="2"/>
        <v>0</v>
      </c>
    </row>
    <row r="50" spans="1:14">
      <c r="A50" s="5">
        <f t="shared" si="0"/>
        <v>44</v>
      </c>
      <c r="B50" s="2" t="s">
        <v>198</v>
      </c>
      <c r="F50" s="476">
        <f t="shared" si="2"/>
        <v>0</v>
      </c>
      <c r="G50" s="476">
        <f t="shared" si="2"/>
        <v>0</v>
      </c>
      <c r="H50" s="476">
        <f t="shared" si="2"/>
        <v>0</v>
      </c>
      <c r="I50" s="476">
        <f t="shared" si="2"/>
        <v>0</v>
      </c>
      <c r="J50" s="476">
        <f t="shared" si="2"/>
        <v>0</v>
      </c>
      <c r="K50" s="476">
        <f t="shared" si="2"/>
        <v>0</v>
      </c>
      <c r="L50" s="476">
        <f t="shared" si="2"/>
        <v>0</v>
      </c>
      <c r="M50" s="476">
        <f t="shared" si="2"/>
        <v>0</v>
      </c>
      <c r="N50" s="476">
        <f t="shared" si="2"/>
        <v>0</v>
      </c>
    </row>
    <row r="51" spans="1:14">
      <c r="A51" s="5">
        <f t="shared" si="0"/>
        <v>45</v>
      </c>
      <c r="B51" s="2" t="s">
        <v>200</v>
      </c>
      <c r="F51" s="476">
        <f t="shared" si="2"/>
        <v>0</v>
      </c>
      <c r="G51" s="476">
        <f t="shared" si="2"/>
        <v>0</v>
      </c>
      <c r="H51" s="476">
        <f t="shared" si="2"/>
        <v>0</v>
      </c>
      <c r="I51" s="476">
        <f t="shared" si="2"/>
        <v>0</v>
      </c>
      <c r="J51" s="476">
        <f t="shared" si="2"/>
        <v>0</v>
      </c>
      <c r="K51" s="476">
        <f t="shared" si="2"/>
        <v>0</v>
      </c>
      <c r="L51" s="476">
        <f t="shared" si="2"/>
        <v>0</v>
      </c>
      <c r="M51" s="476">
        <f t="shared" si="2"/>
        <v>0</v>
      </c>
      <c r="N51" s="476">
        <f t="shared" si="2"/>
        <v>0</v>
      </c>
    </row>
    <row r="52" spans="1:14">
      <c r="A52" s="5">
        <f t="shared" si="0"/>
        <v>46</v>
      </c>
      <c r="B52" s="464" t="s">
        <v>9</v>
      </c>
      <c r="C52" s="464"/>
      <c r="D52" s="464"/>
      <c r="E52" s="464"/>
      <c r="F52" s="475">
        <f t="shared" ref="F52" si="3">SUM(F48:F51)</f>
        <v>1625</v>
      </c>
      <c r="G52" s="475">
        <f t="shared" ref="G52:M52" si="4">SUM(G48:G51)</f>
        <v>0</v>
      </c>
      <c r="H52" s="475">
        <f t="shared" si="4"/>
        <v>0</v>
      </c>
      <c r="I52" s="475">
        <f t="shared" si="4"/>
        <v>889043</v>
      </c>
      <c r="J52" s="475">
        <f t="shared" si="4"/>
        <v>0</v>
      </c>
      <c r="K52" s="475">
        <f t="shared" si="4"/>
        <v>0</v>
      </c>
      <c r="L52" s="475">
        <f t="shared" si="4"/>
        <v>0</v>
      </c>
      <c r="M52" s="475">
        <f t="shared" si="4"/>
        <v>0</v>
      </c>
      <c r="N52" s="475">
        <f>SUM(N48:N51)</f>
        <v>890668</v>
      </c>
    </row>
    <row r="53" spans="1:14">
      <c r="A53" s="5">
        <f t="shared" si="0"/>
        <v>47</v>
      </c>
      <c r="F53" s="476"/>
      <c r="G53" s="476"/>
      <c r="H53" s="476"/>
      <c r="I53" s="476"/>
      <c r="J53" s="476"/>
      <c r="K53" s="476"/>
      <c r="L53" s="476"/>
      <c r="M53" s="476"/>
      <c r="N53" s="476"/>
    </row>
    <row r="54" spans="1:14">
      <c r="A54" s="5">
        <f t="shared" si="0"/>
        <v>48</v>
      </c>
      <c r="B54" s="479" t="s">
        <v>555</v>
      </c>
    </row>
    <row r="55" spans="1:14">
      <c r="A55" s="5">
        <f t="shared" si="0"/>
        <v>49</v>
      </c>
      <c r="B55" s="2" t="s">
        <v>198</v>
      </c>
      <c r="C55" s="2" t="s">
        <v>201</v>
      </c>
    </row>
    <row r="56" spans="1:14">
      <c r="A56" s="5">
        <f t="shared" si="0"/>
        <v>50</v>
      </c>
      <c r="B56" s="2" t="s">
        <v>197</v>
      </c>
      <c r="C56" s="2" t="s">
        <v>202</v>
      </c>
    </row>
    <row r="57" spans="1:14">
      <c r="A57" s="5">
        <f t="shared" si="0"/>
        <v>51</v>
      </c>
      <c r="B57" s="2" t="s">
        <v>196</v>
      </c>
      <c r="C57" s="2" t="s">
        <v>203</v>
      </c>
    </row>
    <row r="58" spans="1:14">
      <c r="A58" s="5"/>
    </row>
    <row r="59" spans="1:14">
      <c r="A59" s="480" t="s">
        <v>174</v>
      </c>
    </row>
    <row r="60" spans="1:14" ht="12.75" customHeight="1">
      <c r="A60" s="27" t="s">
        <v>79</v>
      </c>
      <c r="B60" s="779" t="s">
        <v>90</v>
      </c>
      <c r="C60" s="779"/>
      <c r="D60" s="779"/>
      <c r="E60" s="779"/>
      <c r="F60" s="779"/>
      <c r="G60" s="779"/>
      <c r="H60" s="779"/>
      <c r="I60" s="779"/>
      <c r="J60" s="779"/>
      <c r="K60" s="779"/>
      <c r="L60" s="779"/>
      <c r="M60" s="779"/>
    </row>
    <row r="61" spans="1:14">
      <c r="A61" s="27" t="s">
        <v>80</v>
      </c>
      <c r="B61" s="2" t="s">
        <v>806</v>
      </c>
    </row>
  </sheetData>
  <mergeCells count="7">
    <mergeCell ref="O1:U1"/>
    <mergeCell ref="A1:N1"/>
    <mergeCell ref="A2:N2"/>
    <mergeCell ref="A3:N3"/>
    <mergeCell ref="B60:M60"/>
    <mergeCell ref="H8:I8"/>
    <mergeCell ref="H7:I7"/>
  </mergeCells>
  <pageMargins left="0.5" right="0.25" top="1" bottom="1" header="0.5"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K49"/>
  <sheetViews>
    <sheetView workbookViewId="0">
      <selection activeCell="A39" sqref="A39"/>
    </sheetView>
  </sheetViews>
  <sheetFormatPr defaultColWidth="7.08984375" defaultRowHeight="13.2"/>
  <cols>
    <col min="1" max="1" width="5.54296875" style="204" customWidth="1"/>
    <col min="2" max="2" width="35.54296875" style="204" customWidth="1"/>
    <col min="3" max="3" width="24.1796875" style="204" customWidth="1"/>
    <col min="4" max="4" width="11.08984375" style="215" customWidth="1"/>
    <col min="5" max="5" width="7.08984375" style="204"/>
    <col min="6" max="6" width="8.81640625" style="204" bestFit="1" customWidth="1"/>
    <col min="7" max="16384" width="7.08984375" style="204"/>
  </cols>
  <sheetData>
    <row r="1" spans="1:11" ht="14.25" customHeight="1">
      <c r="A1" s="798" t="s">
        <v>532</v>
      </c>
      <c r="B1" s="798"/>
      <c r="C1" s="798"/>
      <c r="D1" s="798"/>
      <c r="E1" s="772"/>
      <c r="F1" s="772"/>
      <c r="G1" s="772"/>
      <c r="H1" s="772"/>
      <c r="I1" s="772"/>
      <c r="J1" s="772"/>
      <c r="K1" s="772"/>
    </row>
    <row r="2" spans="1:11">
      <c r="A2" s="798" t="s">
        <v>206</v>
      </c>
      <c r="B2" s="798"/>
      <c r="C2" s="798"/>
      <c r="D2" s="798"/>
    </row>
    <row r="3" spans="1:11">
      <c r="A3" s="799" t="str">
        <f>'Act Att-H'!C7</f>
        <v>Cheyenne Light, Fuel &amp; Power</v>
      </c>
      <c r="B3" s="798"/>
      <c r="C3" s="798"/>
      <c r="D3" s="798"/>
    </row>
    <row r="4" spans="1:11">
      <c r="D4" s="205" t="s">
        <v>673</v>
      </c>
    </row>
    <row r="5" spans="1:11">
      <c r="D5" s="204"/>
    </row>
    <row r="6" spans="1:11">
      <c r="A6" s="206" t="s">
        <v>4</v>
      </c>
      <c r="C6" s="207" t="s">
        <v>20</v>
      </c>
      <c r="D6" s="208"/>
    </row>
    <row r="7" spans="1:11">
      <c r="A7" s="209" t="s">
        <v>6</v>
      </c>
      <c r="B7" s="209" t="s">
        <v>478</v>
      </c>
      <c r="C7" s="210" t="s">
        <v>22</v>
      </c>
      <c r="D7" s="211" t="s">
        <v>23</v>
      </c>
    </row>
    <row r="8" spans="1:11" ht="13.35" customHeight="1">
      <c r="A8" s="206">
        <v>1</v>
      </c>
      <c r="B8" s="204" t="s">
        <v>207</v>
      </c>
      <c r="C8" s="204" t="s">
        <v>208</v>
      </c>
      <c r="D8" s="212">
        <v>75335</v>
      </c>
      <c r="F8" s="421"/>
    </row>
    <row r="9" spans="1:11" ht="13.35" customHeight="1">
      <c r="A9" s="206">
        <v>2</v>
      </c>
      <c r="B9" s="204" t="s">
        <v>209</v>
      </c>
      <c r="C9" s="204" t="s">
        <v>210</v>
      </c>
      <c r="D9" s="212">
        <v>1226381</v>
      </c>
      <c r="F9" s="421"/>
      <c r="H9" s="760"/>
    </row>
    <row r="10" spans="1:11" ht="13.35" customHeight="1">
      <c r="A10" s="206">
        <v>3</v>
      </c>
      <c r="B10" s="204" t="s">
        <v>211</v>
      </c>
      <c r="C10" s="204" t="s">
        <v>212</v>
      </c>
      <c r="D10" s="212">
        <v>79688</v>
      </c>
      <c r="F10" s="421"/>
    </row>
    <row r="11" spans="1:11" ht="13.35" customHeight="1">
      <c r="A11" s="206">
        <v>4</v>
      </c>
      <c r="B11" s="204" t="s">
        <v>1113</v>
      </c>
      <c r="C11" s="204" t="s">
        <v>476</v>
      </c>
      <c r="D11" s="212">
        <v>0</v>
      </c>
      <c r="F11" s="421"/>
    </row>
    <row r="12" spans="1:11" ht="13.35" customHeight="1">
      <c r="A12" s="206" t="s">
        <v>1078</v>
      </c>
      <c r="B12" s="204" t="s">
        <v>1094</v>
      </c>
      <c r="C12" s="204" t="s">
        <v>918</v>
      </c>
      <c r="D12" s="212">
        <v>0</v>
      </c>
      <c r="F12" s="421"/>
    </row>
    <row r="13" spans="1:11" ht="13.35" customHeight="1">
      <c r="A13" s="206" t="s">
        <v>1079</v>
      </c>
      <c r="B13" s="204" t="s">
        <v>1095</v>
      </c>
      <c r="C13" s="204" t="s">
        <v>918</v>
      </c>
      <c r="D13" s="212">
        <v>0</v>
      </c>
      <c r="F13" s="421"/>
    </row>
    <row r="14" spans="1:11" ht="13.35" customHeight="1" thickBot="1">
      <c r="A14" s="206">
        <v>5</v>
      </c>
      <c r="B14" s="204" t="s">
        <v>263</v>
      </c>
      <c r="C14" s="204" t="s">
        <v>1112</v>
      </c>
      <c r="D14" s="214">
        <f>SUM(D8:D10,D12:D13)-D11</f>
        <v>1381404</v>
      </c>
      <c r="G14" s="761"/>
    </row>
    <row r="15" spans="1:11" ht="13.35" customHeight="1" thickTop="1">
      <c r="A15" s="206">
        <v>6</v>
      </c>
    </row>
    <row r="16" spans="1:11" ht="13.35" customHeight="1">
      <c r="A16" s="206">
        <v>7</v>
      </c>
    </row>
    <row r="17" spans="1:8" ht="13.35" customHeight="1">
      <c r="A17" s="206">
        <v>8</v>
      </c>
      <c r="B17" s="216" t="s">
        <v>213</v>
      </c>
      <c r="D17" s="217"/>
      <c r="G17" s="760"/>
    </row>
    <row r="18" spans="1:8" ht="13.2" customHeight="1">
      <c r="A18" s="206">
        <v>9</v>
      </c>
      <c r="D18" s="217"/>
      <c r="H18" s="760"/>
    </row>
    <row r="19" spans="1:8" ht="13.35" customHeight="1">
      <c r="A19" s="206">
        <v>10</v>
      </c>
      <c r="B19" s="204" t="s">
        <v>824</v>
      </c>
      <c r="C19" s="204" t="s">
        <v>825</v>
      </c>
      <c r="D19" s="212">
        <v>0</v>
      </c>
      <c r="F19" s="421"/>
    </row>
    <row r="20" spans="1:8" ht="13.35" customHeight="1">
      <c r="A20" s="206">
        <v>11</v>
      </c>
      <c r="B20" s="204" t="s">
        <v>917</v>
      </c>
      <c r="C20" s="204" t="s">
        <v>1222</v>
      </c>
      <c r="D20" s="212">
        <v>0</v>
      </c>
      <c r="F20" s="421"/>
      <c r="H20" s="760"/>
    </row>
    <row r="21" spans="1:8" ht="13.35" customHeight="1">
      <c r="A21" s="206">
        <v>12</v>
      </c>
      <c r="D21" s="213"/>
    </row>
    <row r="22" spans="1:8" ht="13.35" customHeight="1">
      <c r="A22" s="206">
        <v>13</v>
      </c>
      <c r="D22" s="218"/>
    </row>
    <row r="23" spans="1:8" ht="13.35" customHeight="1">
      <c r="A23" s="206">
        <v>14</v>
      </c>
      <c r="B23" s="204" t="s">
        <v>9</v>
      </c>
      <c r="C23" s="216"/>
      <c r="D23" s="219">
        <f>SUM(D19:D22)</f>
        <v>0</v>
      </c>
    </row>
    <row r="24" spans="1:8" ht="13.35" customHeight="1">
      <c r="A24" s="206">
        <v>15</v>
      </c>
      <c r="D24" s="213"/>
    </row>
    <row r="25" spans="1:8" ht="13.35" customHeight="1" thickBot="1">
      <c r="A25" s="206">
        <v>16</v>
      </c>
      <c r="B25" s="204" t="s">
        <v>264</v>
      </c>
      <c r="D25" s="214">
        <f>+D23</f>
        <v>0</v>
      </c>
    </row>
    <row r="26" spans="1:8" ht="13.35" customHeight="1" thickTop="1">
      <c r="A26" s="206">
        <v>17</v>
      </c>
      <c r="D26" s="220"/>
    </row>
    <row r="27" spans="1:8" ht="13.35" customHeight="1">
      <c r="A27" s="206">
        <v>18</v>
      </c>
      <c r="D27" s="220"/>
    </row>
    <row r="28" spans="1:8" ht="13.35" customHeight="1">
      <c r="A28" s="206">
        <v>19</v>
      </c>
      <c r="B28" s="216" t="s">
        <v>1114</v>
      </c>
      <c r="D28" s="220"/>
    </row>
    <row r="29" spans="1:8" ht="13.2" customHeight="1">
      <c r="A29" s="206">
        <v>20</v>
      </c>
      <c r="B29" s="204" t="s">
        <v>214</v>
      </c>
      <c r="C29" s="204" t="s">
        <v>477</v>
      </c>
      <c r="D29" s="212"/>
      <c r="F29" s="421"/>
      <c r="G29" s="103"/>
      <c r="H29" s="103"/>
    </row>
    <row r="30" spans="1:8" ht="13.35" customHeight="1">
      <c r="A30" s="206">
        <v>21</v>
      </c>
      <c r="B30" s="204" t="s">
        <v>215</v>
      </c>
      <c r="C30" s="204" t="s">
        <v>477</v>
      </c>
      <c r="D30" s="212">
        <v>589097.48226666672</v>
      </c>
      <c r="F30" s="421"/>
      <c r="G30" s="103"/>
      <c r="H30" s="103"/>
    </row>
    <row r="31" spans="1:8" ht="13.35" customHeight="1" thickBot="1">
      <c r="A31" s="206">
        <v>22</v>
      </c>
      <c r="B31" s="204" t="s">
        <v>1114</v>
      </c>
      <c r="C31" s="204" t="s">
        <v>1030</v>
      </c>
      <c r="D31" s="214">
        <f>SUM(D29:D30)</f>
        <v>589097.48226666672</v>
      </c>
    </row>
    <row r="32" spans="1:8" ht="13.35" customHeight="1" thickTop="1">
      <c r="A32" s="206"/>
      <c r="D32" s="220"/>
    </row>
    <row r="33" spans="1:4" ht="13.35" customHeight="1">
      <c r="A33" s="383" t="s">
        <v>174</v>
      </c>
      <c r="B33" s="221"/>
      <c r="D33" s="220"/>
    </row>
    <row r="34" spans="1:4" ht="25.5" customHeight="1">
      <c r="A34" s="423" t="s">
        <v>79</v>
      </c>
      <c r="B34" s="797" t="s">
        <v>675</v>
      </c>
      <c r="C34" s="797"/>
      <c r="D34" s="797"/>
    </row>
    <row r="35" spans="1:4" ht="33" customHeight="1">
      <c r="A35" s="423" t="s">
        <v>80</v>
      </c>
      <c r="B35" s="797" t="s">
        <v>932</v>
      </c>
      <c r="C35" s="797"/>
      <c r="D35" s="797"/>
    </row>
    <row r="36" spans="1:4" ht="17.25" customHeight="1">
      <c r="A36" s="423" t="s">
        <v>81</v>
      </c>
      <c r="B36" s="797" t="s">
        <v>823</v>
      </c>
      <c r="C36" s="797"/>
      <c r="D36" s="797"/>
    </row>
    <row r="37" spans="1:4" ht="25.5" customHeight="1">
      <c r="A37" s="423" t="s">
        <v>82</v>
      </c>
      <c r="B37" s="797" t="s">
        <v>1115</v>
      </c>
      <c r="C37" s="797"/>
      <c r="D37" s="797"/>
    </row>
    <row r="38" spans="1:4">
      <c r="A38" s="206"/>
    </row>
    <row r="39" spans="1:4">
      <c r="A39" s="206"/>
    </row>
    <row r="40" spans="1:4">
      <c r="A40" s="206"/>
    </row>
    <row r="41" spans="1:4">
      <c r="A41" s="206"/>
    </row>
    <row r="42" spans="1:4">
      <c r="A42" s="206"/>
    </row>
    <row r="43" spans="1:4">
      <c r="A43" s="206"/>
    </row>
    <row r="44" spans="1:4">
      <c r="A44" s="206"/>
    </row>
    <row r="45" spans="1:4">
      <c r="A45" s="206"/>
    </row>
    <row r="46" spans="1:4">
      <c r="A46" s="206"/>
    </row>
    <row r="47" spans="1:4">
      <c r="A47" s="206"/>
    </row>
    <row r="49" ht="25.5" customHeight="1"/>
  </sheetData>
  <mergeCells count="8">
    <mergeCell ref="E1:K1"/>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Q91"/>
  <sheetViews>
    <sheetView zoomScaleNormal="100" workbookViewId="0">
      <selection activeCell="A45" sqref="A45"/>
    </sheetView>
  </sheetViews>
  <sheetFormatPr defaultRowHeight="13.2"/>
  <cols>
    <col min="1" max="1" width="6.08984375" style="2" customWidth="1"/>
    <col min="2" max="2" width="36.453125" style="2" bestFit="1" customWidth="1"/>
    <col min="3" max="3" width="12.08984375" style="2" bestFit="1" customWidth="1"/>
    <col min="4" max="4" width="12.1796875" style="2" bestFit="1" customWidth="1"/>
    <col min="5" max="5" width="12.08984375" style="2" bestFit="1" customWidth="1"/>
    <col min="6" max="6" width="15.54296875" style="2" bestFit="1" customWidth="1"/>
    <col min="7" max="7" width="6.81640625" style="2" customWidth="1"/>
    <col min="8" max="8" width="7.08984375" style="2" customWidth="1"/>
    <col min="9" max="9" width="8.81640625" style="2"/>
    <col min="10" max="10" width="22" style="2" bestFit="1" customWidth="1"/>
    <col min="11" max="11" width="9.81640625" style="2" bestFit="1" customWidth="1"/>
    <col min="12" max="12" width="13.81640625" style="2" bestFit="1" customWidth="1"/>
    <col min="13" max="13" width="8.81640625" style="2"/>
    <col min="14" max="14" width="13.81640625" style="2" bestFit="1" customWidth="1"/>
    <col min="15" max="256" width="8.81640625" style="2"/>
    <col min="257" max="257" width="6.08984375" style="2" customWidth="1"/>
    <col min="258" max="260" width="11.81640625" style="2" customWidth="1"/>
    <col min="261" max="262" width="9.81640625" style="2" customWidth="1"/>
    <col min="263" max="263" width="15.08984375" style="2" bestFit="1" customWidth="1"/>
    <col min="264" max="512" width="8.81640625" style="2"/>
    <col min="513" max="513" width="6.08984375" style="2" customWidth="1"/>
    <col min="514" max="516" width="11.81640625" style="2" customWidth="1"/>
    <col min="517" max="518" width="9.81640625" style="2" customWidth="1"/>
    <col min="519" max="519" width="15.08984375" style="2" bestFit="1" customWidth="1"/>
    <col min="520" max="768" width="8.81640625" style="2"/>
    <col min="769" max="769" width="6.08984375" style="2" customWidth="1"/>
    <col min="770" max="772" width="11.81640625" style="2" customWidth="1"/>
    <col min="773" max="774" width="9.81640625" style="2" customWidth="1"/>
    <col min="775" max="775" width="15.08984375" style="2" bestFit="1" customWidth="1"/>
    <col min="776" max="1024" width="8.81640625" style="2"/>
    <col min="1025" max="1025" width="6.08984375" style="2" customWidth="1"/>
    <col min="1026" max="1028" width="11.81640625" style="2" customWidth="1"/>
    <col min="1029" max="1030" width="9.81640625" style="2" customWidth="1"/>
    <col min="1031" max="1031" width="15.08984375" style="2" bestFit="1" customWidth="1"/>
    <col min="1032" max="1280" width="8.81640625" style="2"/>
    <col min="1281" max="1281" width="6.08984375" style="2" customWidth="1"/>
    <col min="1282" max="1284" width="11.81640625" style="2" customWidth="1"/>
    <col min="1285" max="1286" width="9.81640625" style="2" customWidth="1"/>
    <col min="1287" max="1287" width="15.08984375" style="2" bestFit="1" customWidth="1"/>
    <col min="1288" max="1536" width="8.81640625" style="2"/>
    <col min="1537" max="1537" width="6.08984375" style="2" customWidth="1"/>
    <col min="1538" max="1540" width="11.81640625" style="2" customWidth="1"/>
    <col min="1541" max="1542" width="9.81640625" style="2" customWidth="1"/>
    <col min="1543" max="1543" width="15.08984375" style="2" bestFit="1" customWidth="1"/>
    <col min="1544" max="1792" width="8.81640625" style="2"/>
    <col min="1793" max="1793" width="6.08984375" style="2" customWidth="1"/>
    <col min="1794" max="1796" width="11.81640625" style="2" customWidth="1"/>
    <col min="1797" max="1798" width="9.81640625" style="2" customWidth="1"/>
    <col min="1799" max="1799" width="15.08984375" style="2" bestFit="1" customWidth="1"/>
    <col min="1800" max="2048" width="8.81640625" style="2"/>
    <col min="2049" max="2049" width="6.08984375" style="2" customWidth="1"/>
    <col min="2050" max="2052" width="11.81640625" style="2" customWidth="1"/>
    <col min="2053" max="2054" width="9.81640625" style="2" customWidth="1"/>
    <col min="2055" max="2055" width="15.08984375" style="2" bestFit="1" customWidth="1"/>
    <col min="2056" max="2304" width="8.81640625" style="2"/>
    <col min="2305" max="2305" width="6.08984375" style="2" customWidth="1"/>
    <col min="2306" max="2308" width="11.81640625" style="2" customWidth="1"/>
    <col min="2309" max="2310" width="9.81640625" style="2" customWidth="1"/>
    <col min="2311" max="2311" width="15.08984375" style="2" bestFit="1" customWidth="1"/>
    <col min="2312" max="2560" width="8.81640625" style="2"/>
    <col min="2561" max="2561" width="6.08984375" style="2" customWidth="1"/>
    <col min="2562" max="2564" width="11.81640625" style="2" customWidth="1"/>
    <col min="2565" max="2566" width="9.81640625" style="2" customWidth="1"/>
    <col min="2567" max="2567" width="15.08984375" style="2" bestFit="1" customWidth="1"/>
    <col min="2568" max="2816" width="8.81640625" style="2"/>
    <col min="2817" max="2817" width="6.08984375" style="2" customWidth="1"/>
    <col min="2818" max="2820" width="11.81640625" style="2" customWidth="1"/>
    <col min="2821" max="2822" width="9.81640625" style="2" customWidth="1"/>
    <col min="2823" max="2823" width="15.08984375" style="2" bestFit="1" customWidth="1"/>
    <col min="2824" max="3072" width="8.81640625" style="2"/>
    <col min="3073" max="3073" width="6.08984375" style="2" customWidth="1"/>
    <col min="3074" max="3076" width="11.81640625" style="2" customWidth="1"/>
    <col min="3077" max="3078" width="9.81640625" style="2" customWidth="1"/>
    <col min="3079" max="3079" width="15.08984375" style="2" bestFit="1" customWidth="1"/>
    <col min="3080" max="3328" width="8.81640625" style="2"/>
    <col min="3329" max="3329" width="6.08984375" style="2" customWidth="1"/>
    <col min="3330" max="3332" width="11.81640625" style="2" customWidth="1"/>
    <col min="3333" max="3334" width="9.81640625" style="2" customWidth="1"/>
    <col min="3335" max="3335" width="15.08984375" style="2" bestFit="1" customWidth="1"/>
    <col min="3336" max="3584" width="8.81640625" style="2"/>
    <col min="3585" max="3585" width="6.08984375" style="2" customWidth="1"/>
    <col min="3586" max="3588" width="11.81640625" style="2" customWidth="1"/>
    <col min="3589" max="3590" width="9.81640625" style="2" customWidth="1"/>
    <col min="3591" max="3591" width="15.08984375" style="2" bestFit="1" customWidth="1"/>
    <col min="3592" max="3840" width="8.81640625" style="2"/>
    <col min="3841" max="3841" width="6.08984375" style="2" customWidth="1"/>
    <col min="3842" max="3844" width="11.81640625" style="2" customWidth="1"/>
    <col min="3845" max="3846" width="9.81640625" style="2" customWidth="1"/>
    <col min="3847" max="3847" width="15.08984375" style="2" bestFit="1" customWidth="1"/>
    <col min="3848" max="4096" width="8.81640625" style="2"/>
    <col min="4097" max="4097" width="6.08984375" style="2" customWidth="1"/>
    <col min="4098" max="4100" width="11.81640625" style="2" customWidth="1"/>
    <col min="4101" max="4102" width="9.81640625" style="2" customWidth="1"/>
    <col min="4103" max="4103" width="15.08984375" style="2" bestFit="1" customWidth="1"/>
    <col min="4104" max="4352" width="8.81640625" style="2"/>
    <col min="4353" max="4353" width="6.08984375" style="2" customWidth="1"/>
    <col min="4354" max="4356" width="11.81640625" style="2" customWidth="1"/>
    <col min="4357" max="4358" width="9.81640625" style="2" customWidth="1"/>
    <col min="4359" max="4359" width="15.08984375" style="2" bestFit="1" customWidth="1"/>
    <col min="4360" max="4608" width="8.81640625" style="2"/>
    <col min="4609" max="4609" width="6.08984375" style="2" customWidth="1"/>
    <col min="4610" max="4612" width="11.81640625" style="2" customWidth="1"/>
    <col min="4613" max="4614" width="9.81640625" style="2" customWidth="1"/>
    <col min="4615" max="4615" width="15.08984375" style="2" bestFit="1" customWidth="1"/>
    <col min="4616" max="4864" width="8.81640625" style="2"/>
    <col min="4865" max="4865" width="6.08984375" style="2" customWidth="1"/>
    <col min="4866" max="4868" width="11.81640625" style="2" customWidth="1"/>
    <col min="4869" max="4870" width="9.81640625" style="2" customWidth="1"/>
    <col min="4871" max="4871" width="15.08984375" style="2" bestFit="1" customWidth="1"/>
    <col min="4872" max="5120" width="8.81640625" style="2"/>
    <col min="5121" max="5121" width="6.08984375" style="2" customWidth="1"/>
    <col min="5122" max="5124" width="11.81640625" style="2" customWidth="1"/>
    <col min="5125" max="5126" width="9.81640625" style="2" customWidth="1"/>
    <col min="5127" max="5127" width="15.08984375" style="2" bestFit="1" customWidth="1"/>
    <col min="5128" max="5376" width="8.81640625" style="2"/>
    <col min="5377" max="5377" width="6.08984375" style="2" customWidth="1"/>
    <col min="5378" max="5380" width="11.81640625" style="2" customWidth="1"/>
    <col min="5381" max="5382" width="9.81640625" style="2" customWidth="1"/>
    <col min="5383" max="5383" width="15.08984375" style="2" bestFit="1" customWidth="1"/>
    <col min="5384" max="5632" width="8.81640625" style="2"/>
    <col min="5633" max="5633" width="6.08984375" style="2" customWidth="1"/>
    <col min="5634" max="5636" width="11.81640625" style="2" customWidth="1"/>
    <col min="5637" max="5638" width="9.81640625" style="2" customWidth="1"/>
    <col min="5639" max="5639" width="15.08984375" style="2" bestFit="1" customWidth="1"/>
    <col min="5640" max="5888" width="8.81640625" style="2"/>
    <col min="5889" max="5889" width="6.08984375" style="2" customWidth="1"/>
    <col min="5890" max="5892" width="11.81640625" style="2" customWidth="1"/>
    <col min="5893" max="5894" width="9.81640625" style="2" customWidth="1"/>
    <col min="5895" max="5895" width="15.08984375" style="2" bestFit="1" customWidth="1"/>
    <col min="5896" max="6144" width="8.81640625" style="2"/>
    <col min="6145" max="6145" width="6.08984375" style="2" customWidth="1"/>
    <col min="6146" max="6148" width="11.81640625" style="2" customWidth="1"/>
    <col min="6149" max="6150" width="9.81640625" style="2" customWidth="1"/>
    <col min="6151" max="6151" width="15.08984375" style="2" bestFit="1" customWidth="1"/>
    <col min="6152" max="6400" width="8.81640625" style="2"/>
    <col min="6401" max="6401" width="6.08984375" style="2" customWidth="1"/>
    <col min="6402" max="6404" width="11.81640625" style="2" customWidth="1"/>
    <col min="6405" max="6406" width="9.81640625" style="2" customWidth="1"/>
    <col min="6407" max="6407" width="15.08984375" style="2" bestFit="1" customWidth="1"/>
    <col min="6408" max="6656" width="8.81640625" style="2"/>
    <col min="6657" max="6657" width="6.08984375" style="2" customWidth="1"/>
    <col min="6658" max="6660" width="11.81640625" style="2" customWidth="1"/>
    <col min="6661" max="6662" width="9.81640625" style="2" customWidth="1"/>
    <col min="6663" max="6663" width="15.08984375" style="2" bestFit="1" customWidth="1"/>
    <col min="6664" max="6912" width="8.81640625" style="2"/>
    <col min="6913" max="6913" width="6.08984375" style="2" customWidth="1"/>
    <col min="6914" max="6916" width="11.81640625" style="2" customWidth="1"/>
    <col min="6917" max="6918" width="9.81640625" style="2" customWidth="1"/>
    <col min="6919" max="6919" width="15.08984375" style="2" bestFit="1" customWidth="1"/>
    <col min="6920" max="7168" width="8.81640625" style="2"/>
    <col min="7169" max="7169" width="6.08984375" style="2" customWidth="1"/>
    <col min="7170" max="7172" width="11.81640625" style="2" customWidth="1"/>
    <col min="7173" max="7174" width="9.81640625" style="2" customWidth="1"/>
    <col min="7175" max="7175" width="15.08984375" style="2" bestFit="1" customWidth="1"/>
    <col min="7176" max="7424" width="8.81640625" style="2"/>
    <col min="7425" max="7425" width="6.08984375" style="2" customWidth="1"/>
    <col min="7426" max="7428" width="11.81640625" style="2" customWidth="1"/>
    <col min="7429" max="7430" width="9.81640625" style="2" customWidth="1"/>
    <col min="7431" max="7431" width="15.08984375" style="2" bestFit="1" customWidth="1"/>
    <col min="7432" max="7680" width="8.81640625" style="2"/>
    <col min="7681" max="7681" width="6.08984375" style="2" customWidth="1"/>
    <col min="7682" max="7684" width="11.81640625" style="2" customWidth="1"/>
    <col min="7685" max="7686" width="9.81640625" style="2" customWidth="1"/>
    <col min="7687" max="7687" width="15.08984375" style="2" bestFit="1" customWidth="1"/>
    <col min="7688" max="7936" width="8.81640625" style="2"/>
    <col min="7937" max="7937" width="6.08984375" style="2" customWidth="1"/>
    <col min="7938" max="7940" width="11.81640625" style="2" customWidth="1"/>
    <col min="7941" max="7942" width="9.81640625" style="2" customWidth="1"/>
    <col min="7943" max="7943" width="15.08984375" style="2" bestFit="1" customWidth="1"/>
    <col min="7944" max="8192" width="8.81640625" style="2"/>
    <col min="8193" max="8193" width="6.08984375" style="2" customWidth="1"/>
    <col min="8194" max="8196" width="11.81640625" style="2" customWidth="1"/>
    <col min="8197" max="8198" width="9.81640625" style="2" customWidth="1"/>
    <col min="8199" max="8199" width="15.08984375" style="2" bestFit="1" customWidth="1"/>
    <col min="8200" max="8448" width="8.81640625" style="2"/>
    <col min="8449" max="8449" width="6.08984375" style="2" customWidth="1"/>
    <col min="8450" max="8452" width="11.81640625" style="2" customWidth="1"/>
    <col min="8453" max="8454" width="9.81640625" style="2" customWidth="1"/>
    <col min="8455" max="8455" width="15.08984375" style="2" bestFit="1" customWidth="1"/>
    <col min="8456" max="8704" width="8.81640625" style="2"/>
    <col min="8705" max="8705" width="6.08984375" style="2" customWidth="1"/>
    <col min="8706" max="8708" width="11.81640625" style="2" customWidth="1"/>
    <col min="8709" max="8710" width="9.81640625" style="2" customWidth="1"/>
    <col min="8711" max="8711" width="15.08984375" style="2" bestFit="1" customWidth="1"/>
    <col min="8712" max="8960" width="8.81640625" style="2"/>
    <col min="8961" max="8961" width="6.08984375" style="2" customWidth="1"/>
    <col min="8962" max="8964" width="11.81640625" style="2" customWidth="1"/>
    <col min="8965" max="8966" width="9.81640625" style="2" customWidth="1"/>
    <col min="8967" max="8967" width="15.08984375" style="2" bestFit="1" customWidth="1"/>
    <col min="8968" max="9216" width="8.81640625" style="2"/>
    <col min="9217" max="9217" width="6.08984375" style="2" customWidth="1"/>
    <col min="9218" max="9220" width="11.81640625" style="2" customWidth="1"/>
    <col min="9221" max="9222" width="9.81640625" style="2" customWidth="1"/>
    <col min="9223" max="9223" width="15.08984375" style="2" bestFit="1" customWidth="1"/>
    <col min="9224" max="9472" width="8.81640625" style="2"/>
    <col min="9473" max="9473" width="6.08984375" style="2" customWidth="1"/>
    <col min="9474" max="9476" width="11.81640625" style="2" customWidth="1"/>
    <col min="9477" max="9478" width="9.81640625" style="2" customWidth="1"/>
    <col min="9479" max="9479" width="15.08984375" style="2" bestFit="1" customWidth="1"/>
    <col min="9480" max="9728" width="8.81640625" style="2"/>
    <col min="9729" max="9729" width="6.08984375" style="2" customWidth="1"/>
    <col min="9730" max="9732" width="11.81640625" style="2" customWidth="1"/>
    <col min="9733" max="9734" width="9.81640625" style="2" customWidth="1"/>
    <col min="9735" max="9735" width="15.08984375" style="2" bestFit="1" customWidth="1"/>
    <col min="9736" max="9984" width="8.81640625" style="2"/>
    <col min="9985" max="9985" width="6.08984375" style="2" customWidth="1"/>
    <col min="9986" max="9988" width="11.81640625" style="2" customWidth="1"/>
    <col min="9989" max="9990" width="9.81640625" style="2" customWidth="1"/>
    <col min="9991" max="9991" width="15.08984375" style="2" bestFit="1" customWidth="1"/>
    <col min="9992" max="10240" width="8.81640625" style="2"/>
    <col min="10241" max="10241" width="6.08984375" style="2" customWidth="1"/>
    <col min="10242" max="10244" width="11.81640625" style="2" customWidth="1"/>
    <col min="10245" max="10246" width="9.81640625" style="2" customWidth="1"/>
    <col min="10247" max="10247" width="15.08984375" style="2" bestFit="1" customWidth="1"/>
    <col min="10248" max="10496" width="8.81640625" style="2"/>
    <col min="10497" max="10497" width="6.08984375" style="2" customWidth="1"/>
    <col min="10498" max="10500" width="11.81640625" style="2" customWidth="1"/>
    <col min="10501" max="10502" width="9.81640625" style="2" customWidth="1"/>
    <col min="10503" max="10503" width="15.08984375" style="2" bestFit="1" customWidth="1"/>
    <col min="10504" max="10752" width="8.81640625" style="2"/>
    <col min="10753" max="10753" width="6.08984375" style="2" customWidth="1"/>
    <col min="10754" max="10756" width="11.81640625" style="2" customWidth="1"/>
    <col min="10757" max="10758" width="9.81640625" style="2" customWidth="1"/>
    <col min="10759" max="10759" width="15.08984375" style="2" bestFit="1" customWidth="1"/>
    <col min="10760" max="11008" width="8.81640625" style="2"/>
    <col min="11009" max="11009" width="6.08984375" style="2" customWidth="1"/>
    <col min="11010" max="11012" width="11.81640625" style="2" customWidth="1"/>
    <col min="11013" max="11014" width="9.81640625" style="2" customWidth="1"/>
    <col min="11015" max="11015" width="15.08984375" style="2" bestFit="1" customWidth="1"/>
    <col min="11016" max="11264" width="8.81640625" style="2"/>
    <col min="11265" max="11265" width="6.08984375" style="2" customWidth="1"/>
    <col min="11266" max="11268" width="11.81640625" style="2" customWidth="1"/>
    <col min="11269" max="11270" width="9.81640625" style="2" customWidth="1"/>
    <col min="11271" max="11271" width="15.08984375" style="2" bestFit="1" customWidth="1"/>
    <col min="11272" max="11520" width="8.81640625" style="2"/>
    <col min="11521" max="11521" width="6.08984375" style="2" customWidth="1"/>
    <col min="11522" max="11524" width="11.81640625" style="2" customWidth="1"/>
    <col min="11525" max="11526" width="9.81640625" style="2" customWidth="1"/>
    <col min="11527" max="11527" width="15.08984375" style="2" bestFit="1" customWidth="1"/>
    <col min="11528" max="11776" width="8.81640625" style="2"/>
    <col min="11777" max="11777" width="6.08984375" style="2" customWidth="1"/>
    <col min="11778" max="11780" width="11.81640625" style="2" customWidth="1"/>
    <col min="11781" max="11782" width="9.81640625" style="2" customWidth="1"/>
    <col min="11783" max="11783" width="15.08984375" style="2" bestFit="1" customWidth="1"/>
    <col min="11784" max="12032" width="8.81640625" style="2"/>
    <col min="12033" max="12033" width="6.08984375" style="2" customWidth="1"/>
    <col min="12034" max="12036" width="11.81640625" style="2" customWidth="1"/>
    <col min="12037" max="12038" width="9.81640625" style="2" customWidth="1"/>
    <col min="12039" max="12039" width="15.08984375" style="2" bestFit="1" customWidth="1"/>
    <col min="12040" max="12288" width="8.81640625" style="2"/>
    <col min="12289" max="12289" width="6.08984375" style="2" customWidth="1"/>
    <col min="12290" max="12292" width="11.81640625" style="2" customWidth="1"/>
    <col min="12293" max="12294" width="9.81640625" style="2" customWidth="1"/>
    <col min="12295" max="12295" width="15.08984375" style="2" bestFit="1" customWidth="1"/>
    <col min="12296" max="12544" width="8.81640625" style="2"/>
    <col min="12545" max="12545" width="6.08984375" style="2" customWidth="1"/>
    <col min="12546" max="12548" width="11.81640625" style="2" customWidth="1"/>
    <col min="12549" max="12550" width="9.81640625" style="2" customWidth="1"/>
    <col min="12551" max="12551" width="15.08984375" style="2" bestFit="1" customWidth="1"/>
    <col min="12552" max="12800" width="8.81640625" style="2"/>
    <col min="12801" max="12801" width="6.08984375" style="2" customWidth="1"/>
    <col min="12802" max="12804" width="11.81640625" style="2" customWidth="1"/>
    <col min="12805" max="12806" width="9.81640625" style="2" customWidth="1"/>
    <col min="12807" max="12807" width="15.08984375" style="2" bestFit="1" customWidth="1"/>
    <col min="12808" max="13056" width="8.81640625" style="2"/>
    <col min="13057" max="13057" width="6.08984375" style="2" customWidth="1"/>
    <col min="13058" max="13060" width="11.81640625" style="2" customWidth="1"/>
    <col min="13061" max="13062" width="9.81640625" style="2" customWidth="1"/>
    <col min="13063" max="13063" width="15.08984375" style="2" bestFit="1" customWidth="1"/>
    <col min="13064" max="13312" width="8.81640625" style="2"/>
    <col min="13313" max="13313" width="6.08984375" style="2" customWidth="1"/>
    <col min="13314" max="13316" width="11.81640625" style="2" customWidth="1"/>
    <col min="13317" max="13318" width="9.81640625" style="2" customWidth="1"/>
    <col min="13319" max="13319" width="15.08984375" style="2" bestFit="1" customWidth="1"/>
    <col min="13320" max="13568" width="8.81640625" style="2"/>
    <col min="13569" max="13569" width="6.08984375" style="2" customWidth="1"/>
    <col min="13570" max="13572" width="11.81640625" style="2" customWidth="1"/>
    <col min="13573" max="13574" width="9.81640625" style="2" customWidth="1"/>
    <col min="13575" max="13575" width="15.08984375" style="2" bestFit="1" customWidth="1"/>
    <col min="13576" max="13824" width="8.81640625" style="2"/>
    <col min="13825" max="13825" width="6.08984375" style="2" customWidth="1"/>
    <col min="13826" max="13828" width="11.81640625" style="2" customWidth="1"/>
    <col min="13829" max="13830" width="9.81640625" style="2" customWidth="1"/>
    <col min="13831" max="13831" width="15.08984375" style="2" bestFit="1" customWidth="1"/>
    <col min="13832" max="14080" width="8.81640625" style="2"/>
    <col min="14081" max="14081" width="6.08984375" style="2" customWidth="1"/>
    <col min="14082" max="14084" width="11.81640625" style="2" customWidth="1"/>
    <col min="14085" max="14086" width="9.81640625" style="2" customWidth="1"/>
    <col min="14087" max="14087" width="15.08984375" style="2" bestFit="1" customWidth="1"/>
    <col min="14088" max="14336" width="8.81640625" style="2"/>
    <col min="14337" max="14337" width="6.08984375" style="2" customWidth="1"/>
    <col min="14338" max="14340" width="11.81640625" style="2" customWidth="1"/>
    <col min="14341" max="14342" width="9.81640625" style="2" customWidth="1"/>
    <col min="14343" max="14343" width="15.08984375" style="2" bestFit="1" customWidth="1"/>
    <col min="14344" max="14592" width="8.81640625" style="2"/>
    <col min="14593" max="14593" width="6.08984375" style="2" customWidth="1"/>
    <col min="14594" max="14596" width="11.81640625" style="2" customWidth="1"/>
    <col min="14597" max="14598" width="9.81640625" style="2" customWidth="1"/>
    <col min="14599" max="14599" width="15.08984375" style="2" bestFit="1" customWidth="1"/>
    <col min="14600" max="14848" width="8.81640625" style="2"/>
    <col min="14849" max="14849" width="6.08984375" style="2" customWidth="1"/>
    <col min="14850" max="14852" width="11.81640625" style="2" customWidth="1"/>
    <col min="14853" max="14854" width="9.81640625" style="2" customWidth="1"/>
    <col min="14855" max="14855" width="15.08984375" style="2" bestFit="1" customWidth="1"/>
    <col min="14856" max="15104" width="8.81640625" style="2"/>
    <col min="15105" max="15105" width="6.08984375" style="2" customWidth="1"/>
    <col min="15106" max="15108" width="11.81640625" style="2" customWidth="1"/>
    <col min="15109" max="15110" width="9.81640625" style="2" customWidth="1"/>
    <col min="15111" max="15111" width="15.08984375" style="2" bestFit="1" customWidth="1"/>
    <col min="15112" max="15360" width="8.81640625" style="2"/>
    <col min="15361" max="15361" width="6.08984375" style="2" customWidth="1"/>
    <col min="15362" max="15364" width="11.81640625" style="2" customWidth="1"/>
    <col min="15365" max="15366" width="9.81640625" style="2" customWidth="1"/>
    <col min="15367" max="15367" width="15.08984375" style="2" bestFit="1" customWidth="1"/>
    <col min="15368" max="15616" width="8.81640625" style="2"/>
    <col min="15617" max="15617" width="6.08984375" style="2" customWidth="1"/>
    <col min="15618" max="15620" width="11.81640625" style="2" customWidth="1"/>
    <col min="15621" max="15622" width="9.81640625" style="2" customWidth="1"/>
    <col min="15623" max="15623" width="15.08984375" style="2" bestFit="1" customWidth="1"/>
    <col min="15624" max="15872" width="8.81640625" style="2"/>
    <col min="15873" max="15873" width="6.08984375" style="2" customWidth="1"/>
    <col min="15874" max="15876" width="11.81640625" style="2" customWidth="1"/>
    <col min="15877" max="15878" width="9.81640625" style="2" customWidth="1"/>
    <col min="15879" max="15879" width="15.08984375" style="2" bestFit="1" customWidth="1"/>
    <col min="15880" max="16128" width="8.81640625" style="2"/>
    <col min="16129" max="16129" width="6.08984375" style="2" customWidth="1"/>
    <col min="16130" max="16132" width="11.81640625" style="2" customWidth="1"/>
    <col min="16133" max="16134" width="9.81640625" style="2" customWidth="1"/>
    <col min="16135" max="16135" width="15.08984375" style="2" bestFit="1" customWidth="1"/>
    <col min="16136" max="16384" width="8.81640625" style="2"/>
  </cols>
  <sheetData>
    <row r="1" spans="1:17">
      <c r="A1" s="798" t="s">
        <v>533</v>
      </c>
      <c r="B1" s="798"/>
      <c r="C1" s="798"/>
      <c r="D1" s="798"/>
      <c r="E1" s="798"/>
      <c r="F1" s="798"/>
      <c r="G1" s="798"/>
      <c r="H1" s="798"/>
      <c r="I1" s="798"/>
      <c r="K1" s="772"/>
      <c r="L1" s="772"/>
      <c r="M1" s="772"/>
      <c r="N1" s="772"/>
      <c r="O1" s="772"/>
      <c r="P1" s="772"/>
      <c r="Q1" s="772"/>
    </row>
    <row r="2" spans="1:17">
      <c r="A2" s="798" t="s">
        <v>204</v>
      </c>
      <c r="B2" s="798"/>
      <c r="C2" s="798"/>
      <c r="D2" s="798"/>
      <c r="E2" s="798"/>
      <c r="F2" s="798"/>
      <c r="G2" s="798"/>
      <c r="H2" s="798"/>
      <c r="I2" s="798"/>
    </row>
    <row r="3" spans="1:17">
      <c r="A3" s="799" t="str">
        <f>'Act Att-H'!C7</f>
        <v>Cheyenne Light, Fuel &amp; Power</v>
      </c>
      <c r="B3" s="799"/>
      <c r="C3" s="799"/>
      <c r="D3" s="799"/>
      <c r="E3" s="799"/>
      <c r="F3" s="799"/>
      <c r="G3" s="799"/>
      <c r="H3" s="799"/>
      <c r="I3" s="799"/>
    </row>
    <row r="4" spans="1:17" s="216" customFormat="1">
      <c r="I4" s="205" t="s">
        <v>673</v>
      </c>
    </row>
    <row r="5" spans="1:17">
      <c r="A5" s="428"/>
      <c r="B5" s="428"/>
      <c r="C5" s="428"/>
      <c r="D5" s="428"/>
      <c r="E5" s="428"/>
      <c r="F5" s="428"/>
      <c r="G5" s="428"/>
    </row>
    <row r="6" spans="1:17">
      <c r="G6" s="207"/>
    </row>
    <row r="7" spans="1:17">
      <c r="A7" s="427"/>
      <c r="B7" s="427"/>
      <c r="C7" s="186"/>
      <c r="D7" s="186" t="s">
        <v>770</v>
      </c>
      <c r="E7" s="186" t="s">
        <v>771</v>
      </c>
      <c r="G7" s="27"/>
    </row>
    <row r="8" spans="1:17">
      <c r="B8" s="427"/>
      <c r="C8" s="186"/>
      <c r="D8" s="186" t="s">
        <v>636</v>
      </c>
      <c r="E8" s="186" t="s">
        <v>700</v>
      </c>
      <c r="F8" s="223"/>
      <c r="G8" s="27"/>
    </row>
    <row r="9" spans="1:17">
      <c r="A9" s="428" t="s">
        <v>4</v>
      </c>
      <c r="B9" s="186" t="s">
        <v>478</v>
      </c>
      <c r="C9" s="186" t="s">
        <v>769</v>
      </c>
      <c r="D9" s="751">
        <v>44896</v>
      </c>
      <c r="E9" s="751">
        <v>45261</v>
      </c>
      <c r="F9" s="186" t="s">
        <v>768</v>
      </c>
      <c r="G9" s="794" t="s">
        <v>1072</v>
      </c>
      <c r="H9" s="794"/>
      <c r="I9" s="186" t="s">
        <v>7</v>
      </c>
      <c r="J9" s="186" t="s">
        <v>1169</v>
      </c>
      <c r="K9" s="421"/>
      <c r="M9" s="421"/>
    </row>
    <row r="10" spans="1:17" ht="13.8" thickBot="1">
      <c r="A10" s="430" t="s">
        <v>6</v>
      </c>
      <c r="B10" s="429" t="s">
        <v>157</v>
      </c>
      <c r="C10" s="429" t="s">
        <v>158</v>
      </c>
      <c r="D10" s="429" t="s">
        <v>159</v>
      </c>
      <c r="E10" s="429" t="s">
        <v>160</v>
      </c>
      <c r="F10" s="429" t="s">
        <v>161</v>
      </c>
      <c r="G10" s="724" t="s">
        <v>715</v>
      </c>
      <c r="H10" s="724" t="s">
        <v>163</v>
      </c>
      <c r="I10" s="724" t="s">
        <v>164</v>
      </c>
      <c r="J10" s="724" t="s">
        <v>194</v>
      </c>
    </row>
    <row r="11" spans="1:17">
      <c r="A11" s="206">
        <v>1</v>
      </c>
      <c r="G11" s="27"/>
    </row>
    <row r="12" spans="1:17" ht="15" customHeight="1">
      <c r="A12" s="206">
        <f t="shared" ref="A12:A15" si="0">+A11+1</f>
        <v>2</v>
      </c>
      <c r="B12" s="425" t="s">
        <v>133</v>
      </c>
      <c r="C12" s="207" t="s">
        <v>777</v>
      </c>
      <c r="D12" s="426">
        <v>0</v>
      </c>
      <c r="E12" s="426">
        <v>0</v>
      </c>
      <c r="F12" s="208">
        <f>(D12+E12)/2</f>
        <v>0</v>
      </c>
      <c r="G12" s="27"/>
      <c r="K12" s="421"/>
      <c r="L12" s="207"/>
      <c r="M12" s="421"/>
      <c r="N12" s="207"/>
    </row>
    <row r="13" spans="1:17" ht="15" customHeight="1">
      <c r="A13" s="206">
        <f t="shared" si="0"/>
        <v>3</v>
      </c>
      <c r="B13" s="425" t="s">
        <v>134</v>
      </c>
      <c r="C13" s="207" t="s">
        <v>774</v>
      </c>
      <c r="D13" s="426">
        <v>-74674604.139379382</v>
      </c>
      <c r="E13" s="426">
        <v>-78947475.551625118</v>
      </c>
      <c r="F13" s="208">
        <f>(D13+E13)/2</f>
        <v>-76811039.845502257</v>
      </c>
      <c r="G13" s="27"/>
      <c r="I13" s="583"/>
      <c r="K13" s="421"/>
      <c r="L13" s="207"/>
      <c r="M13" s="421"/>
      <c r="N13" s="207"/>
      <c r="O13" s="103"/>
    </row>
    <row r="14" spans="1:17" ht="15" customHeight="1">
      <c r="A14" s="206">
        <f t="shared" si="0"/>
        <v>4</v>
      </c>
      <c r="B14" s="425" t="s">
        <v>135</v>
      </c>
      <c r="C14" s="207" t="s">
        <v>775</v>
      </c>
      <c r="D14" s="426">
        <v>-2910132</v>
      </c>
      <c r="E14" s="426">
        <v>-5236489</v>
      </c>
      <c r="F14" s="208">
        <f>(D14+E14)/2</f>
        <v>-4073310.5</v>
      </c>
      <c r="G14" s="27"/>
      <c r="K14" s="421"/>
      <c r="L14" s="207"/>
      <c r="M14" s="421"/>
      <c r="N14" s="207"/>
    </row>
    <row r="15" spans="1:17" ht="15" customHeight="1">
      <c r="A15" s="206">
        <f t="shared" si="0"/>
        <v>5</v>
      </c>
      <c r="B15" s="425" t="s">
        <v>136</v>
      </c>
      <c r="C15" s="207" t="s">
        <v>776</v>
      </c>
      <c r="D15" s="426">
        <v>25144204</v>
      </c>
      <c r="E15" s="426">
        <v>28318638</v>
      </c>
      <c r="F15" s="208">
        <f>(D15+E15)/2</f>
        <v>26731421</v>
      </c>
      <c r="G15" s="27"/>
      <c r="J15" s="584"/>
      <c r="K15" s="421"/>
      <c r="L15" s="207"/>
      <c r="M15" s="421"/>
      <c r="N15" s="207"/>
    </row>
    <row r="16" spans="1:17">
      <c r="A16" s="206">
        <v>6</v>
      </c>
      <c r="J16" s="584"/>
      <c r="K16" s="425"/>
    </row>
    <row r="17" spans="1:14">
      <c r="A17" s="206">
        <v>7</v>
      </c>
      <c r="B17" s="723" t="s">
        <v>1086</v>
      </c>
      <c r="C17" s="208"/>
      <c r="D17" s="59"/>
      <c r="E17" s="59"/>
      <c r="F17" s="59"/>
      <c r="J17" s="584"/>
      <c r="K17" s="762"/>
    </row>
    <row r="18" spans="1:14">
      <c r="A18" s="206">
        <v>8</v>
      </c>
      <c r="B18" s="656" t="s">
        <v>998</v>
      </c>
      <c r="C18" s="208"/>
      <c r="D18" s="59"/>
      <c r="E18" s="59"/>
      <c r="F18" s="59"/>
      <c r="J18" s="584"/>
      <c r="K18" s="762"/>
    </row>
    <row r="19" spans="1:14">
      <c r="A19" s="206">
        <f>A18+1</f>
        <v>9</v>
      </c>
      <c r="B19" s="425" t="s">
        <v>1021</v>
      </c>
      <c r="C19" s="207" t="s">
        <v>1002</v>
      </c>
      <c r="D19" s="426">
        <v>1536169</v>
      </c>
      <c r="E19" s="426">
        <v>1511900</v>
      </c>
      <c r="F19" s="208">
        <f t="shared" ref="F19:F21" si="1">(D19+E19)/2</f>
        <v>1524034.5</v>
      </c>
      <c r="J19" s="584"/>
      <c r="K19" s="421"/>
      <c r="L19" s="207"/>
      <c r="M19" s="421"/>
      <c r="N19" s="207"/>
    </row>
    <row r="20" spans="1:14">
      <c r="A20" s="206">
        <f t="shared" ref="A20:A34" si="2">A19+1</f>
        <v>10</v>
      </c>
      <c r="B20" s="425" t="s">
        <v>1068</v>
      </c>
      <c r="C20" s="207" t="s">
        <v>1003</v>
      </c>
      <c r="D20" s="426">
        <v>-594</v>
      </c>
      <c r="E20" s="426">
        <v>-557</v>
      </c>
      <c r="F20" s="208">
        <f t="shared" si="1"/>
        <v>-575.5</v>
      </c>
      <c r="J20" s="584"/>
      <c r="K20" s="421"/>
      <c r="L20" s="207"/>
      <c r="M20" s="421"/>
      <c r="N20" s="207"/>
    </row>
    <row r="21" spans="1:14">
      <c r="A21" s="206">
        <f t="shared" si="2"/>
        <v>11</v>
      </c>
      <c r="B21" s="425" t="s">
        <v>1069</v>
      </c>
      <c r="C21" s="207" t="s">
        <v>1004</v>
      </c>
      <c r="D21" s="426">
        <v>-557232</v>
      </c>
      <c r="E21" s="426">
        <v>-851072</v>
      </c>
      <c r="F21" s="208">
        <f t="shared" si="1"/>
        <v>-704152</v>
      </c>
      <c r="J21" s="584"/>
      <c r="K21" s="421"/>
      <c r="L21" s="207"/>
      <c r="M21" s="421"/>
      <c r="N21" s="207"/>
    </row>
    <row r="22" spans="1:14">
      <c r="A22" s="206">
        <f t="shared" si="2"/>
        <v>12</v>
      </c>
      <c r="B22" s="425" t="s">
        <v>388</v>
      </c>
      <c r="C22" s="208"/>
      <c r="D22" s="59"/>
      <c r="E22" s="59"/>
      <c r="F22" s="59">
        <f>SUM(F19:F21)</f>
        <v>819307</v>
      </c>
      <c r="J22" s="584"/>
      <c r="K22" s="762"/>
    </row>
    <row r="23" spans="1:14">
      <c r="A23" s="206">
        <f t="shared" si="2"/>
        <v>13</v>
      </c>
      <c r="B23" s="425" t="s">
        <v>1005</v>
      </c>
      <c r="C23" s="208"/>
      <c r="D23" s="59"/>
      <c r="E23" s="59"/>
      <c r="F23" s="657">
        <f>'Act Att-H'!D243</f>
        <v>0.21</v>
      </c>
      <c r="J23" s="584"/>
      <c r="K23" s="421"/>
    </row>
    <row r="24" spans="1:14">
      <c r="A24" s="206">
        <f t="shared" si="2"/>
        <v>14</v>
      </c>
      <c r="B24" s="425" t="s">
        <v>1020</v>
      </c>
      <c r="C24" s="208"/>
      <c r="D24" s="59"/>
      <c r="E24" s="59"/>
      <c r="F24" s="678">
        <f>F22*F23</f>
        <v>172054.47</v>
      </c>
      <c r="J24" s="584"/>
      <c r="K24" s="762"/>
    </row>
    <row r="25" spans="1:14">
      <c r="A25" s="206">
        <f t="shared" si="2"/>
        <v>15</v>
      </c>
      <c r="B25" s="425"/>
      <c r="C25" s="208"/>
      <c r="D25" s="59"/>
      <c r="E25" s="59"/>
      <c r="F25" s="59"/>
      <c r="J25" s="584"/>
      <c r="K25" s="762"/>
    </row>
    <row r="26" spans="1:14" ht="15" customHeight="1">
      <c r="A26" s="206">
        <f t="shared" si="2"/>
        <v>16</v>
      </c>
      <c r="C26" s="222"/>
      <c r="D26" s="222"/>
    </row>
    <row r="27" spans="1:14">
      <c r="A27" s="206">
        <f t="shared" si="2"/>
        <v>17</v>
      </c>
      <c r="B27" s="427" t="s">
        <v>1174</v>
      </c>
      <c r="C27" s="222"/>
      <c r="D27" s="222"/>
    </row>
    <row r="28" spans="1:14">
      <c r="A28" s="206">
        <f t="shared" si="2"/>
        <v>18</v>
      </c>
      <c r="B28" s="2" t="s">
        <v>1178</v>
      </c>
      <c r="C28" s="222" t="s">
        <v>918</v>
      </c>
      <c r="D28" s="426">
        <v>-37549945</v>
      </c>
      <c r="E28" s="426">
        <v>-37455369</v>
      </c>
      <c r="F28" s="208">
        <f t="shared" ref="F28:F32" si="3">(D28+E28)/2</f>
        <v>-37502657</v>
      </c>
      <c r="G28" s="27" t="s">
        <v>1067</v>
      </c>
      <c r="H28" s="676">
        <v>7.9579520269658199E-2</v>
      </c>
      <c r="I28" s="208">
        <f t="shared" ref="I28:I32" si="4">H28*F28</f>
        <v>-2984443.4528975389</v>
      </c>
      <c r="J28" s="208" t="s">
        <v>1166</v>
      </c>
      <c r="K28" s="421"/>
      <c r="M28" s="421"/>
    </row>
    <row r="29" spans="1:14">
      <c r="A29" s="206">
        <f t="shared" si="2"/>
        <v>19</v>
      </c>
      <c r="B29" s="2" t="s">
        <v>1179</v>
      </c>
      <c r="C29" s="222" t="s">
        <v>918</v>
      </c>
      <c r="D29" s="426">
        <v>-777122</v>
      </c>
      <c r="E29" s="426">
        <v>1128013</v>
      </c>
      <c r="F29" s="208">
        <f t="shared" si="3"/>
        <v>175445.5</v>
      </c>
      <c r="G29" s="27" t="s">
        <v>1067</v>
      </c>
      <c r="H29" s="676">
        <v>7.9579520269658158E-2</v>
      </c>
      <c r="I29" s="208">
        <f t="shared" si="4"/>
        <v>13961.86872347031</v>
      </c>
      <c r="J29" s="208" t="s">
        <v>1168</v>
      </c>
      <c r="K29" s="421"/>
      <c r="M29" s="421"/>
    </row>
    <row r="30" spans="1:14">
      <c r="A30" s="206">
        <f t="shared" si="2"/>
        <v>20</v>
      </c>
      <c r="B30" s="2" t="s">
        <v>1189</v>
      </c>
      <c r="C30" s="222" t="s">
        <v>918</v>
      </c>
      <c r="D30" s="426">
        <v>833954</v>
      </c>
      <c r="E30" s="426">
        <v>1167022</v>
      </c>
      <c r="F30" s="208">
        <f t="shared" si="3"/>
        <v>1000488</v>
      </c>
      <c r="G30" s="27" t="s">
        <v>1067</v>
      </c>
      <c r="H30" s="676">
        <v>7.9579520269658158E-2</v>
      </c>
      <c r="I30" s="208">
        <f t="shared" si="4"/>
        <v>79618.355075549756</v>
      </c>
      <c r="J30" s="208" t="s">
        <v>1166</v>
      </c>
      <c r="K30" s="421"/>
      <c r="M30" s="421"/>
    </row>
    <row r="31" spans="1:14">
      <c r="A31" s="206">
        <f t="shared" si="2"/>
        <v>21</v>
      </c>
      <c r="B31" s="2" t="s">
        <v>1180</v>
      </c>
      <c r="C31" s="222" t="s">
        <v>918</v>
      </c>
      <c r="D31" s="426">
        <v>609517</v>
      </c>
      <c r="E31" s="426">
        <v>257815</v>
      </c>
      <c r="F31" s="208">
        <f t="shared" si="3"/>
        <v>433666</v>
      </c>
      <c r="G31" s="27" t="s">
        <v>1067</v>
      </c>
      <c r="H31" s="676">
        <v>7.9579520269658158E-2</v>
      </c>
      <c r="I31" s="208">
        <f t="shared" si="4"/>
        <v>34510.932237261572</v>
      </c>
      <c r="J31" s="208" t="s">
        <v>1168</v>
      </c>
      <c r="K31" s="421"/>
      <c r="M31" s="421"/>
    </row>
    <row r="32" spans="1:14">
      <c r="A32" s="206">
        <f t="shared" si="2"/>
        <v>22</v>
      </c>
      <c r="B32" s="425" t="s">
        <v>1066</v>
      </c>
      <c r="C32" s="222" t="s">
        <v>918</v>
      </c>
      <c r="D32" s="426">
        <v>-3974</v>
      </c>
      <c r="E32" s="426">
        <v>-3974</v>
      </c>
      <c r="F32" s="208">
        <f t="shared" si="3"/>
        <v>-3974</v>
      </c>
      <c r="G32" s="27" t="s">
        <v>1067</v>
      </c>
      <c r="H32" s="676">
        <v>7.9579520269658158E-2</v>
      </c>
      <c r="I32" s="208">
        <f t="shared" si="4"/>
        <v>-316.24901355162154</v>
      </c>
      <c r="J32" s="208" t="s">
        <v>1167</v>
      </c>
      <c r="K32" s="421"/>
      <c r="M32" s="421"/>
    </row>
    <row r="33" spans="1:11">
      <c r="A33" s="206">
        <f t="shared" si="2"/>
        <v>23</v>
      </c>
      <c r="B33" s="425" t="s">
        <v>1130</v>
      </c>
      <c r="C33" s="722"/>
      <c r="D33" s="425"/>
      <c r="E33" s="425"/>
      <c r="F33" s="425"/>
      <c r="G33" s="425"/>
      <c r="H33" s="425"/>
      <c r="I33" s="425"/>
      <c r="J33" s="584"/>
      <c r="K33" s="762"/>
    </row>
    <row r="34" spans="1:11">
      <c r="A34" s="206">
        <f t="shared" si="2"/>
        <v>24</v>
      </c>
      <c r="B34" s="721" t="s">
        <v>1181</v>
      </c>
      <c r="C34" s="208"/>
      <c r="D34" s="59"/>
      <c r="E34" s="59"/>
      <c r="F34" s="677">
        <f>SUM(F28:F33)</f>
        <v>-35897031.5</v>
      </c>
      <c r="I34" s="679">
        <f>SUM(I28:I33)</f>
        <v>-2856668.5458748089</v>
      </c>
      <c r="J34" s="584"/>
      <c r="K34" s="762"/>
    </row>
    <row r="35" spans="1:11">
      <c r="A35" s="206"/>
      <c r="B35" s="425"/>
      <c r="C35" s="208"/>
      <c r="D35" s="59"/>
      <c r="E35" s="59"/>
      <c r="F35" s="59"/>
      <c r="K35" s="762"/>
    </row>
    <row r="36" spans="1:11">
      <c r="A36" s="383" t="s">
        <v>205</v>
      </c>
      <c r="K36" s="425"/>
    </row>
    <row r="37" spans="1:11" ht="16.350000000000001" customHeight="1">
      <c r="A37" s="431" t="s">
        <v>79</v>
      </c>
      <c r="B37" s="801" t="s">
        <v>773</v>
      </c>
      <c r="C37" s="801"/>
      <c r="D37" s="801"/>
      <c r="E37" s="801"/>
      <c r="F37" s="801"/>
      <c r="K37" s="425"/>
    </row>
    <row r="38" spans="1:11" ht="16.350000000000001" customHeight="1">
      <c r="A38" s="431" t="s">
        <v>80</v>
      </c>
      <c r="B38" s="801" t="s">
        <v>772</v>
      </c>
      <c r="C38" s="801"/>
      <c r="D38" s="801"/>
      <c r="E38" s="801"/>
      <c r="F38" s="801"/>
    </row>
    <row r="39" spans="1:11" ht="42.6" customHeight="1">
      <c r="A39" s="423" t="s">
        <v>81</v>
      </c>
      <c r="B39" s="773" t="s">
        <v>1100</v>
      </c>
      <c r="C39" s="773"/>
      <c r="D39" s="773"/>
      <c r="E39" s="773"/>
      <c r="F39" s="773"/>
    </row>
    <row r="40" spans="1:11">
      <c r="A40" s="423" t="s">
        <v>82</v>
      </c>
      <c r="B40" s="2" t="s">
        <v>1080</v>
      </c>
      <c r="C40" s="722"/>
      <c r="D40" s="722"/>
    </row>
    <row r="41" spans="1:11">
      <c r="A41" s="423" t="s">
        <v>83</v>
      </c>
      <c r="B41" s="781" t="s">
        <v>1085</v>
      </c>
      <c r="C41" s="781"/>
      <c r="D41" s="781"/>
      <c r="E41" s="781"/>
      <c r="F41" s="781"/>
    </row>
    <row r="42" spans="1:11" ht="78.75" customHeight="1">
      <c r="A42" s="423" t="s">
        <v>84</v>
      </c>
      <c r="B42" s="774" t="s">
        <v>1176</v>
      </c>
      <c r="C42" s="774"/>
      <c r="D42" s="774"/>
      <c r="E42" s="774"/>
      <c r="F42" s="774"/>
    </row>
    <row r="43" spans="1:11" ht="41.7" customHeight="1">
      <c r="A43" s="423" t="s">
        <v>85</v>
      </c>
      <c r="B43" s="774" t="s">
        <v>1177</v>
      </c>
      <c r="C43" s="774"/>
      <c r="D43" s="774"/>
      <c r="E43" s="774"/>
      <c r="F43" s="774"/>
    </row>
    <row r="44" spans="1:11">
      <c r="A44" s="206"/>
    </row>
    <row r="45" spans="1:11">
      <c r="A45" s="27"/>
      <c r="C45" s="222"/>
      <c r="D45" s="222"/>
    </row>
    <row r="46" spans="1:11">
      <c r="A46" s="206"/>
      <c r="C46" s="222"/>
      <c r="D46" s="222"/>
    </row>
    <row r="47" spans="1:11">
      <c r="A47" s="206"/>
      <c r="C47" s="222"/>
      <c r="D47" s="222"/>
    </row>
    <row r="48" spans="1:11">
      <c r="A48" s="206"/>
      <c r="C48" s="222"/>
      <c r="D48" s="222"/>
    </row>
    <row r="49" spans="1:4">
      <c r="A49" s="206"/>
      <c r="C49" s="222"/>
      <c r="D49" s="222"/>
    </row>
    <row r="50" spans="1:4">
      <c r="C50" s="222"/>
      <c r="D50" s="222"/>
    </row>
    <row r="54" spans="1:4" ht="15" customHeight="1"/>
    <row r="58" spans="1:4" ht="15" customHeight="1"/>
    <row r="66" spans="2:7" ht="15" customHeight="1"/>
    <row r="69" spans="2:7" ht="15" customHeight="1"/>
    <row r="79" spans="2:7" ht="12.75" customHeight="1">
      <c r="B79" s="773"/>
      <c r="C79" s="773"/>
      <c r="D79" s="773"/>
      <c r="E79" s="773"/>
      <c r="F79" s="773"/>
      <c r="G79" s="773"/>
    </row>
    <row r="80" spans="2:7">
      <c r="B80" s="773"/>
      <c r="C80" s="773"/>
      <c r="D80" s="773"/>
      <c r="E80" s="773"/>
      <c r="F80" s="773"/>
      <c r="G80" s="773"/>
    </row>
    <row r="81" spans="2:7">
      <c r="B81" s="773"/>
      <c r="C81" s="773"/>
      <c r="D81" s="773"/>
      <c r="E81" s="773"/>
      <c r="F81" s="773"/>
      <c r="G81" s="773"/>
    </row>
    <row r="82" spans="2:7">
      <c r="B82" s="773"/>
      <c r="C82" s="773"/>
      <c r="D82" s="773"/>
      <c r="E82" s="773"/>
      <c r="F82" s="773"/>
      <c r="G82" s="773"/>
    </row>
    <row r="83" spans="2:7">
      <c r="B83" s="773"/>
      <c r="C83" s="773"/>
      <c r="D83" s="773"/>
      <c r="E83" s="773"/>
      <c r="F83" s="773"/>
      <c r="G83" s="773"/>
    </row>
    <row r="84" spans="2:7" ht="12.75" customHeight="1">
      <c r="B84" s="773"/>
      <c r="C84" s="773"/>
      <c r="D84" s="773"/>
      <c r="E84" s="773"/>
      <c r="F84" s="773"/>
      <c r="G84" s="773"/>
    </row>
    <row r="85" spans="2:7" ht="12.75" customHeight="1">
      <c r="B85" s="773"/>
      <c r="C85" s="773"/>
      <c r="D85" s="773"/>
      <c r="E85" s="773"/>
      <c r="F85" s="773"/>
      <c r="G85" s="773"/>
    </row>
    <row r="86" spans="2:7" ht="12.75" customHeight="1">
      <c r="B86" s="773"/>
      <c r="C86" s="773"/>
      <c r="D86" s="773"/>
      <c r="E86" s="773"/>
      <c r="F86" s="773"/>
      <c r="G86" s="773"/>
    </row>
    <row r="87" spans="2:7">
      <c r="B87" s="800"/>
      <c r="C87" s="800"/>
      <c r="D87" s="800"/>
      <c r="E87" s="800"/>
      <c r="F87" s="800"/>
      <c r="G87" s="800"/>
    </row>
    <row r="88" spans="2:7">
      <c r="B88" s="800"/>
      <c r="C88" s="800"/>
      <c r="D88" s="800"/>
      <c r="E88" s="800"/>
      <c r="F88" s="800"/>
      <c r="G88" s="800"/>
    </row>
    <row r="89" spans="2:7">
      <c r="B89" s="800"/>
      <c r="C89" s="800"/>
      <c r="D89" s="800"/>
      <c r="E89" s="800"/>
      <c r="F89" s="800"/>
      <c r="G89" s="800"/>
    </row>
    <row r="90" spans="2:7">
      <c r="B90" s="800"/>
      <c r="C90" s="800"/>
      <c r="D90" s="800"/>
      <c r="E90" s="800"/>
      <c r="F90" s="800"/>
      <c r="G90" s="800"/>
    </row>
    <row r="91" spans="2:7">
      <c r="B91" s="800"/>
      <c r="C91" s="800"/>
      <c r="D91" s="800"/>
      <c r="E91" s="800"/>
      <c r="F91" s="800"/>
      <c r="G91" s="800"/>
    </row>
  </sheetData>
  <mergeCells count="20">
    <mergeCell ref="B39:F39"/>
    <mergeCell ref="B42:F42"/>
    <mergeCell ref="B41:F41"/>
    <mergeCell ref="B43:F43"/>
    <mergeCell ref="K1:Q1"/>
    <mergeCell ref="B90:G90"/>
    <mergeCell ref="B91:G91"/>
    <mergeCell ref="B87:G87"/>
    <mergeCell ref="B85:G85"/>
    <mergeCell ref="B86:G86"/>
    <mergeCell ref="B88:G88"/>
    <mergeCell ref="B89:G89"/>
    <mergeCell ref="B84:G84"/>
    <mergeCell ref="G9:H9"/>
    <mergeCell ref="A1:I1"/>
    <mergeCell ref="A2:I2"/>
    <mergeCell ref="A3:I3"/>
    <mergeCell ref="B79:G83"/>
    <mergeCell ref="B37:F37"/>
    <mergeCell ref="B38:F38"/>
  </mergeCells>
  <pageMargins left="0.75" right="0.75" top="1" bottom="1" header="0.5" footer="0.5"/>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R127"/>
  <sheetViews>
    <sheetView zoomScaleNormal="100" workbookViewId="0">
      <selection activeCell="A131" sqref="A131"/>
    </sheetView>
  </sheetViews>
  <sheetFormatPr defaultColWidth="8.81640625" defaultRowHeight="13.2"/>
  <cols>
    <col min="1" max="1" width="5.81640625" style="1" customWidth="1"/>
    <col min="2" max="2" width="26.54296875" style="2" customWidth="1"/>
    <col min="3" max="9" width="15.08984375" style="2" customWidth="1"/>
    <col min="10" max="10" width="3.81640625" style="2" customWidth="1"/>
    <col min="11" max="11" width="10.1796875" style="2" bestFit="1" customWidth="1"/>
    <col min="12" max="12" width="8.81640625" style="2" customWidth="1"/>
    <col min="13" max="13" width="12.1796875" style="2" customWidth="1"/>
    <col min="14" max="14" width="11.81640625" style="2" customWidth="1"/>
    <col min="15" max="15" width="12.1796875" style="2" bestFit="1" customWidth="1"/>
    <col min="16" max="16" width="9" style="2" customWidth="1"/>
    <col min="17" max="17" width="8" style="2" bestFit="1" customWidth="1"/>
    <col min="18" max="18" width="8.08984375" style="2" customWidth="1"/>
    <col min="19" max="16384" width="8.81640625" style="2"/>
  </cols>
  <sheetData>
    <row r="1" spans="1:18">
      <c r="C1" s="3"/>
      <c r="E1" s="447" t="s">
        <v>534</v>
      </c>
      <c r="F1" s="3"/>
      <c r="H1" s="3"/>
      <c r="I1" s="3"/>
      <c r="J1" s="772"/>
      <c r="K1" s="772"/>
      <c r="L1" s="772"/>
      <c r="M1" s="772"/>
      <c r="N1" s="772"/>
      <c r="O1" s="772"/>
      <c r="P1" s="772"/>
      <c r="Q1" s="772"/>
      <c r="R1" s="772"/>
    </row>
    <row r="2" spans="1:18">
      <c r="A2" s="5"/>
      <c r="C2" s="3"/>
      <c r="D2" s="3"/>
      <c r="E2" s="13" t="s">
        <v>362</v>
      </c>
      <c r="F2" s="3"/>
      <c r="H2" s="3"/>
      <c r="I2" s="3"/>
      <c r="J2" s="3"/>
      <c r="K2" s="3"/>
      <c r="L2" s="3"/>
      <c r="M2" s="3"/>
      <c r="N2" s="3"/>
      <c r="O2" s="3"/>
      <c r="P2" s="3"/>
      <c r="Q2" s="3"/>
    </row>
    <row r="3" spans="1:18">
      <c r="A3" s="5"/>
      <c r="C3" s="3"/>
      <c r="D3" s="3"/>
      <c r="E3" s="448" t="str">
        <f>'Act Att-H'!C7</f>
        <v>Cheyenne Light, Fuel &amp; Power</v>
      </c>
      <c r="F3" s="3"/>
      <c r="H3" s="3"/>
      <c r="I3" s="188" t="s">
        <v>977</v>
      </c>
      <c r="J3" s="3"/>
      <c r="K3" s="3"/>
      <c r="L3" s="3"/>
      <c r="M3" s="3"/>
      <c r="N3" s="3"/>
      <c r="O3" s="3"/>
      <c r="P3" s="3"/>
      <c r="Q3" s="3"/>
    </row>
    <row r="4" spans="1:18">
      <c r="A4" s="5"/>
      <c r="C4" s="3"/>
      <c r="D4" s="3"/>
      <c r="E4" s="3"/>
      <c r="F4" s="3"/>
      <c r="G4" s="3"/>
      <c r="H4" s="3"/>
      <c r="I4" s="3"/>
    </row>
    <row r="5" spans="1:18" ht="15" customHeight="1">
      <c r="A5" s="5"/>
      <c r="B5" s="7"/>
      <c r="C5" s="802" t="s">
        <v>935</v>
      </c>
      <c r="D5" s="803"/>
      <c r="E5" s="803"/>
      <c r="F5" s="803"/>
      <c r="G5" s="804"/>
      <c r="H5" s="8" t="s">
        <v>318</v>
      </c>
      <c r="I5" s="8" t="s">
        <v>319</v>
      </c>
    </row>
    <row r="6" spans="1:18">
      <c r="A6" s="5"/>
      <c r="B6" s="7"/>
    </row>
    <row r="7" spans="1:18" s="12" customFormat="1" ht="42" customHeight="1">
      <c r="A7" s="9" t="s">
        <v>320</v>
      </c>
      <c r="B7" s="10" t="s">
        <v>268</v>
      </c>
      <c r="C7" s="10" t="s">
        <v>321</v>
      </c>
      <c r="D7" s="10" t="s">
        <v>21</v>
      </c>
      <c r="E7" s="10" t="s">
        <v>322</v>
      </c>
      <c r="F7" s="10" t="s">
        <v>323</v>
      </c>
      <c r="G7" s="11" t="s">
        <v>324</v>
      </c>
      <c r="H7" s="10" t="s">
        <v>325</v>
      </c>
      <c r="I7" s="10" t="s">
        <v>326</v>
      </c>
    </row>
    <row r="8" spans="1:18" s="16" customFormat="1">
      <c r="A8" s="5"/>
      <c r="B8" s="13" t="s">
        <v>157</v>
      </c>
      <c r="C8" s="13" t="s">
        <v>158</v>
      </c>
      <c r="D8" s="13" t="s">
        <v>159</v>
      </c>
      <c r="E8" s="10" t="s">
        <v>160</v>
      </c>
      <c r="F8" s="10" t="s">
        <v>161</v>
      </c>
      <c r="G8" s="10" t="s">
        <v>162</v>
      </c>
      <c r="H8" s="10" t="s">
        <v>163</v>
      </c>
      <c r="I8" s="14" t="s">
        <v>164</v>
      </c>
    </row>
    <row r="9" spans="1:18" s="16" customFormat="1" ht="29.25" customHeight="1">
      <c r="A9" s="5"/>
      <c r="B9" s="17" t="s">
        <v>328</v>
      </c>
      <c r="C9" s="13" t="s">
        <v>111</v>
      </c>
      <c r="D9" s="13" t="s">
        <v>108</v>
      </c>
      <c r="E9" s="13" t="s">
        <v>109</v>
      </c>
      <c r="F9" s="10" t="s">
        <v>112</v>
      </c>
      <c r="G9" s="13" t="s">
        <v>1139</v>
      </c>
      <c r="H9" s="13" t="s">
        <v>329</v>
      </c>
      <c r="I9" s="13" t="s">
        <v>330</v>
      </c>
      <c r="K9" s="763"/>
      <c r="L9" s="763"/>
      <c r="M9" s="763"/>
      <c r="N9" s="764"/>
      <c r="O9" s="763"/>
      <c r="P9" s="763"/>
      <c r="Q9" s="763"/>
    </row>
    <row r="10" spans="1:18">
      <c r="A10" s="5">
        <v>1</v>
      </c>
      <c r="B10" s="18" t="s">
        <v>332</v>
      </c>
      <c r="C10" s="19">
        <v>351343661.71000004</v>
      </c>
      <c r="D10" s="19">
        <v>109401329.69000001</v>
      </c>
      <c r="E10" s="19">
        <v>264589917.11000004</v>
      </c>
      <c r="F10" s="19">
        <v>21617201.75</v>
      </c>
      <c r="G10" s="19">
        <v>12585516</v>
      </c>
      <c r="H10" s="755">
        <v>0</v>
      </c>
      <c r="I10" s="19">
        <v>318000</v>
      </c>
      <c r="J10" s="16"/>
      <c r="K10" s="421"/>
      <c r="L10" s="421"/>
      <c r="M10" s="421"/>
      <c r="N10" s="421"/>
      <c r="O10" s="421"/>
      <c r="P10" s="421"/>
      <c r="Q10" s="421"/>
      <c r="R10" s="16"/>
    </row>
    <row r="11" spans="1:18">
      <c r="A11" s="5">
        <v>2</v>
      </c>
      <c r="B11" s="18" t="s">
        <v>165</v>
      </c>
      <c r="C11" s="19">
        <v>353379551.13</v>
      </c>
      <c r="D11" s="19">
        <v>111989695.53</v>
      </c>
      <c r="E11" s="19">
        <v>263834303.81000006</v>
      </c>
      <c r="F11" s="19">
        <v>21625212.350000001</v>
      </c>
      <c r="G11" s="19">
        <v>13071042</v>
      </c>
      <c r="H11" s="755">
        <v>0</v>
      </c>
      <c r="I11" s="19">
        <v>318000</v>
      </c>
      <c r="J11" s="16"/>
      <c r="K11" s="421"/>
      <c r="L11" s="421"/>
      <c r="M11" s="421"/>
      <c r="N11" s="421"/>
      <c r="O11" s="421"/>
      <c r="P11" s="421"/>
      <c r="Q11" s="421"/>
      <c r="R11" s="16"/>
    </row>
    <row r="12" spans="1:18">
      <c r="A12" s="5">
        <v>3</v>
      </c>
      <c r="B12" s="3" t="s">
        <v>166</v>
      </c>
      <c r="C12" s="19">
        <v>353021992.24999994</v>
      </c>
      <c r="D12" s="19">
        <v>111932404.11000001</v>
      </c>
      <c r="E12" s="19">
        <v>263983782.88</v>
      </c>
      <c r="F12" s="19">
        <v>21711664.309999995</v>
      </c>
      <c r="G12" s="19">
        <v>13080998</v>
      </c>
      <c r="H12" s="755">
        <v>0</v>
      </c>
      <c r="I12" s="19">
        <v>318000</v>
      </c>
      <c r="J12" s="16"/>
      <c r="K12" s="421"/>
      <c r="L12" s="421"/>
      <c r="M12" s="421"/>
      <c r="N12" s="421"/>
      <c r="O12" s="421"/>
      <c r="P12" s="421"/>
      <c r="Q12" s="421"/>
      <c r="R12" s="16"/>
    </row>
    <row r="13" spans="1:18">
      <c r="A13" s="5">
        <v>4</v>
      </c>
      <c r="B13" s="3" t="s">
        <v>333</v>
      </c>
      <c r="C13" s="19">
        <v>353075271.51999998</v>
      </c>
      <c r="D13" s="19">
        <v>111982256.67999999</v>
      </c>
      <c r="E13" s="19">
        <v>263044320.73000005</v>
      </c>
      <c r="F13" s="19">
        <v>21776374.759999998</v>
      </c>
      <c r="G13" s="19">
        <v>13263131</v>
      </c>
      <c r="H13" s="755">
        <v>0</v>
      </c>
      <c r="I13" s="19">
        <v>318000</v>
      </c>
      <c r="J13" s="16"/>
      <c r="K13" s="421"/>
      <c r="L13" s="421"/>
      <c r="M13" s="421"/>
      <c r="N13" s="421"/>
      <c r="O13" s="421"/>
      <c r="P13" s="421"/>
      <c r="Q13" s="421"/>
      <c r="R13" s="16"/>
    </row>
    <row r="14" spans="1:18">
      <c r="A14" s="5">
        <v>5</v>
      </c>
      <c r="B14" s="3" t="s">
        <v>167</v>
      </c>
      <c r="C14" s="19">
        <v>351133558.37000006</v>
      </c>
      <c r="D14" s="19">
        <v>116476861.93000001</v>
      </c>
      <c r="E14" s="19">
        <v>264830866.57000002</v>
      </c>
      <c r="F14" s="19">
        <v>21887865.559999995</v>
      </c>
      <c r="G14" s="19">
        <v>13327684</v>
      </c>
      <c r="H14" s="755">
        <v>0</v>
      </c>
      <c r="I14" s="19">
        <v>318000</v>
      </c>
      <c r="J14" s="16"/>
      <c r="K14" s="421"/>
      <c r="L14" s="421"/>
      <c r="M14" s="421"/>
      <c r="N14" s="421"/>
      <c r="O14" s="421"/>
      <c r="P14" s="421"/>
      <c r="Q14" s="421"/>
      <c r="R14" s="16"/>
    </row>
    <row r="15" spans="1:18">
      <c r="A15" s="5">
        <v>6</v>
      </c>
      <c r="B15" s="3" t="s">
        <v>168</v>
      </c>
      <c r="C15" s="19">
        <v>351887907.60000002</v>
      </c>
      <c r="D15" s="19">
        <v>116538489.99000001</v>
      </c>
      <c r="E15" s="19">
        <v>270043812.93000001</v>
      </c>
      <c r="F15" s="19">
        <v>22215711.009999998</v>
      </c>
      <c r="G15" s="19">
        <v>13268480</v>
      </c>
      <c r="H15" s="755">
        <v>0</v>
      </c>
      <c r="I15" s="19">
        <v>318000</v>
      </c>
      <c r="J15" s="16"/>
      <c r="K15" s="421"/>
      <c r="L15" s="421"/>
      <c r="M15" s="421"/>
      <c r="N15" s="421"/>
      <c r="O15" s="421"/>
      <c r="P15" s="421"/>
      <c r="Q15" s="421"/>
      <c r="R15" s="16"/>
    </row>
    <row r="16" spans="1:18">
      <c r="A16" s="5">
        <v>7</v>
      </c>
      <c r="B16" s="3" t="s">
        <v>169</v>
      </c>
      <c r="C16" s="19">
        <v>351953559.98999995</v>
      </c>
      <c r="D16" s="19">
        <v>116592580.32000002</v>
      </c>
      <c r="E16" s="19">
        <v>271429633.58269823</v>
      </c>
      <c r="F16" s="19">
        <v>22456199.009999998</v>
      </c>
      <c r="G16" s="19">
        <v>13274576</v>
      </c>
      <c r="H16" s="755">
        <v>0</v>
      </c>
      <c r="I16" s="19">
        <v>318000</v>
      </c>
      <c r="J16" s="16"/>
      <c r="K16" s="421"/>
      <c r="L16" s="421"/>
      <c r="M16" s="421"/>
      <c r="N16" s="421"/>
      <c r="O16" s="421"/>
      <c r="P16" s="421"/>
      <c r="Q16" s="421"/>
      <c r="R16" s="16"/>
    </row>
    <row r="17" spans="1:18">
      <c r="A17" s="5">
        <v>8</v>
      </c>
      <c r="B17" s="3" t="s">
        <v>170</v>
      </c>
      <c r="C17" s="19">
        <v>351976529.60999995</v>
      </c>
      <c r="D17" s="19">
        <v>118946926.28</v>
      </c>
      <c r="E17" s="19">
        <v>271081007.51000005</v>
      </c>
      <c r="F17" s="19">
        <v>22471304.859999996</v>
      </c>
      <c r="G17" s="19">
        <v>13354004</v>
      </c>
      <c r="H17" s="755">
        <v>0</v>
      </c>
      <c r="I17" s="19">
        <v>318000</v>
      </c>
      <c r="J17" s="16"/>
      <c r="K17" s="421"/>
      <c r="L17" s="421"/>
      <c r="M17" s="421"/>
      <c r="N17" s="421"/>
      <c r="O17" s="421"/>
      <c r="P17" s="421"/>
      <c r="Q17" s="421"/>
      <c r="R17" s="16"/>
    </row>
    <row r="18" spans="1:18">
      <c r="A18" s="5">
        <v>9</v>
      </c>
      <c r="B18" s="3" t="s">
        <v>334</v>
      </c>
      <c r="C18" s="19">
        <v>351998165.64999998</v>
      </c>
      <c r="D18" s="19">
        <v>118745933.23999998</v>
      </c>
      <c r="E18" s="19">
        <v>271854413.26999998</v>
      </c>
      <c r="F18" s="19">
        <v>22470713.989999995</v>
      </c>
      <c r="G18" s="19">
        <v>13550645</v>
      </c>
      <c r="H18" s="755">
        <v>0</v>
      </c>
      <c r="I18" s="19">
        <v>318000</v>
      </c>
      <c r="J18" s="16"/>
      <c r="K18" s="421"/>
      <c r="L18" s="421"/>
      <c r="M18" s="421"/>
      <c r="N18" s="421"/>
      <c r="O18" s="421"/>
      <c r="P18" s="421"/>
      <c r="Q18" s="421"/>
      <c r="R18" s="16"/>
    </row>
    <row r="19" spans="1:18">
      <c r="A19" s="5">
        <v>10</v>
      </c>
      <c r="B19" s="3" t="s">
        <v>171</v>
      </c>
      <c r="C19" s="19">
        <v>351337086.11000007</v>
      </c>
      <c r="D19" s="19">
        <v>131121460.32000001</v>
      </c>
      <c r="E19" s="19">
        <v>271455531.90825695</v>
      </c>
      <c r="F19" s="19">
        <v>22570217.839999996</v>
      </c>
      <c r="G19" s="19">
        <v>13529164</v>
      </c>
      <c r="H19" s="755">
        <v>0</v>
      </c>
      <c r="I19" s="19">
        <v>318000</v>
      </c>
      <c r="J19" s="16"/>
      <c r="K19" s="421"/>
      <c r="L19" s="421"/>
      <c r="M19" s="421"/>
      <c r="N19" s="421"/>
      <c r="O19" s="421"/>
      <c r="P19" s="421"/>
      <c r="Q19" s="421"/>
      <c r="R19" s="16"/>
    </row>
    <row r="20" spans="1:18">
      <c r="A20" s="5">
        <v>11</v>
      </c>
      <c r="B20" s="3" t="s">
        <v>172</v>
      </c>
      <c r="C20" s="19">
        <v>351287391.47999996</v>
      </c>
      <c r="D20" s="19">
        <v>132476327.11000001</v>
      </c>
      <c r="E20" s="19">
        <v>272335654.30000001</v>
      </c>
      <c r="F20" s="19">
        <v>22813195.299999993</v>
      </c>
      <c r="G20" s="19">
        <v>13708320</v>
      </c>
      <c r="H20" s="755">
        <v>0</v>
      </c>
      <c r="I20" s="19">
        <v>318000</v>
      </c>
      <c r="J20" s="16"/>
      <c r="K20" s="421"/>
      <c r="L20" s="421"/>
      <c r="M20" s="421"/>
      <c r="N20" s="421"/>
      <c r="O20" s="421"/>
      <c r="P20" s="421"/>
      <c r="Q20" s="421"/>
      <c r="R20" s="16"/>
    </row>
    <row r="21" spans="1:18">
      <c r="A21" s="5">
        <v>12</v>
      </c>
      <c r="B21" s="3" t="s">
        <v>173</v>
      </c>
      <c r="C21" s="19">
        <v>351366837.68999994</v>
      </c>
      <c r="D21" s="19">
        <v>138288178.49999997</v>
      </c>
      <c r="E21" s="19">
        <v>273104640.83999991</v>
      </c>
      <c r="F21" s="19">
        <v>22854062.209999993</v>
      </c>
      <c r="G21" s="19">
        <v>13761664</v>
      </c>
      <c r="H21" s="755">
        <v>0</v>
      </c>
      <c r="I21" s="19">
        <v>318000</v>
      </c>
      <c r="J21" s="16"/>
      <c r="K21" s="421"/>
      <c r="L21" s="421"/>
      <c r="M21" s="421"/>
      <c r="N21" s="421"/>
      <c r="O21" s="421"/>
      <c r="P21" s="421"/>
      <c r="Q21" s="421"/>
      <c r="R21" s="16"/>
    </row>
    <row r="22" spans="1:18">
      <c r="A22" s="5">
        <v>13</v>
      </c>
      <c r="B22" s="3" t="s">
        <v>335</v>
      </c>
      <c r="C22" s="19">
        <v>349932703.52999991</v>
      </c>
      <c r="D22" s="19">
        <v>139007210.73000002</v>
      </c>
      <c r="E22" s="19">
        <v>272800251.24222243</v>
      </c>
      <c r="F22" s="19">
        <v>23449792.409999993</v>
      </c>
      <c r="G22" s="19">
        <v>15372501</v>
      </c>
      <c r="H22" s="755">
        <v>0</v>
      </c>
      <c r="I22" s="19">
        <v>318000</v>
      </c>
      <c r="J22" s="16"/>
      <c r="K22" s="421"/>
      <c r="L22" s="421"/>
      <c r="M22" s="421"/>
      <c r="N22" s="421"/>
      <c r="O22" s="421"/>
      <c r="P22" s="421"/>
      <c r="Q22" s="421"/>
      <c r="R22" s="16"/>
    </row>
    <row r="23" spans="1:18" ht="13.8" thickBot="1">
      <c r="A23" s="5">
        <v>14</v>
      </c>
      <c r="B23" s="20" t="s">
        <v>336</v>
      </c>
      <c r="C23" s="21">
        <f>SUM(C10:C22)/13</f>
        <v>351822632.04923081</v>
      </c>
      <c r="D23" s="21">
        <f>SUM(D10:D22)/13</f>
        <v>121038434.95615387</v>
      </c>
      <c r="E23" s="21">
        <f t="shared" ref="E23:I23" si="0">SUM(E10:E22)/13</f>
        <v>268799087.43716753</v>
      </c>
      <c r="F23" s="21">
        <f t="shared" si="0"/>
        <v>22301501.181538455</v>
      </c>
      <c r="G23" s="21">
        <f t="shared" si="0"/>
        <v>13472901.923076924</v>
      </c>
      <c r="H23" s="21">
        <f t="shared" si="0"/>
        <v>0</v>
      </c>
      <c r="I23" s="21">
        <f t="shared" si="0"/>
        <v>318000</v>
      </c>
      <c r="J23" s="16"/>
      <c r="K23" s="763"/>
      <c r="L23" s="763"/>
      <c r="M23" s="763"/>
      <c r="N23" s="764"/>
      <c r="O23" s="763"/>
      <c r="P23" s="763"/>
      <c r="Q23" s="763"/>
      <c r="R23" s="16"/>
    </row>
    <row r="24" spans="1:18" ht="13.8" thickTop="1">
      <c r="A24" s="5"/>
      <c r="B24" s="3"/>
      <c r="C24" s="22"/>
      <c r="D24" s="23"/>
      <c r="E24" s="23"/>
      <c r="F24" s="23"/>
      <c r="G24" s="22"/>
      <c r="H24" s="22"/>
      <c r="I24" s="22"/>
    </row>
    <row r="25" spans="1:18">
      <c r="A25" s="5"/>
      <c r="B25" s="3"/>
      <c r="C25" s="22"/>
      <c r="D25" s="23"/>
      <c r="E25" s="23"/>
      <c r="F25" s="23"/>
      <c r="G25" s="22"/>
      <c r="H25" s="22"/>
      <c r="I25" s="22"/>
    </row>
    <row r="26" spans="1:18">
      <c r="A26" s="5"/>
      <c r="B26" s="3"/>
      <c r="C26" s="22"/>
      <c r="D26" s="23"/>
      <c r="E26" s="23"/>
      <c r="F26" s="23"/>
      <c r="G26" s="22"/>
      <c r="H26" s="22"/>
      <c r="I26" s="22"/>
    </row>
    <row r="27" spans="1:18">
      <c r="A27" s="5"/>
      <c r="B27" s="3"/>
      <c r="C27" s="3"/>
    </row>
    <row r="28" spans="1:18">
      <c r="A28" s="5"/>
      <c r="B28" s="3"/>
      <c r="C28" s="606"/>
      <c r="D28" s="605"/>
      <c r="E28" s="805" t="s">
        <v>936</v>
      </c>
      <c r="F28" s="806"/>
      <c r="G28" s="806"/>
      <c r="H28" s="806"/>
      <c r="I28" s="807"/>
    </row>
    <row r="29" spans="1:18">
      <c r="A29" s="5"/>
      <c r="B29" s="3"/>
    </row>
    <row r="30" spans="1:18" ht="26.4">
      <c r="A30" s="9" t="s">
        <v>320</v>
      </c>
      <c r="B30" s="10" t="s">
        <v>268</v>
      </c>
      <c r="C30" s="607" t="s">
        <v>980</v>
      </c>
      <c r="D30" s="607" t="s">
        <v>980</v>
      </c>
      <c r="E30" s="10" t="s">
        <v>321</v>
      </c>
      <c r="F30" s="10" t="s">
        <v>21</v>
      </c>
      <c r="G30" s="10" t="s">
        <v>322</v>
      </c>
      <c r="H30" s="10" t="s">
        <v>323</v>
      </c>
      <c r="I30" s="10" t="s">
        <v>324</v>
      </c>
    </row>
    <row r="31" spans="1:18">
      <c r="A31" s="5"/>
      <c r="B31" s="13" t="s">
        <v>157</v>
      </c>
      <c r="C31" s="343" t="s">
        <v>158</v>
      </c>
      <c r="D31" s="13" t="s">
        <v>159</v>
      </c>
      <c r="E31" s="10" t="s">
        <v>160</v>
      </c>
      <c r="F31" s="10" t="s">
        <v>161</v>
      </c>
      <c r="G31" s="10" t="s">
        <v>162</v>
      </c>
      <c r="H31" s="10" t="s">
        <v>163</v>
      </c>
      <c r="I31" s="14" t="s">
        <v>164</v>
      </c>
      <c r="N31" s="12"/>
      <c r="O31" s="103"/>
    </row>
    <row r="32" spans="1:18">
      <c r="A32" s="5"/>
      <c r="B32" s="17" t="s">
        <v>328</v>
      </c>
      <c r="C32" s="10"/>
      <c r="D32" s="13"/>
      <c r="E32" s="13" t="s">
        <v>103</v>
      </c>
      <c r="F32" s="13" t="s">
        <v>104</v>
      </c>
      <c r="G32" s="13" t="s">
        <v>105</v>
      </c>
      <c r="H32" s="10" t="s">
        <v>331</v>
      </c>
      <c r="I32" s="13" t="s">
        <v>1140</v>
      </c>
      <c r="M32" s="764"/>
      <c r="N32" s="764"/>
      <c r="O32" s="763"/>
      <c r="P32" s="764"/>
      <c r="Q32" s="764"/>
    </row>
    <row r="33" spans="1:17">
      <c r="A33" s="5">
        <v>15</v>
      </c>
      <c r="B33" s="18" t="s">
        <v>332</v>
      </c>
      <c r="C33" s="10"/>
      <c r="D33" s="10"/>
      <c r="E33" s="19">
        <v>73233118.030000001</v>
      </c>
      <c r="F33" s="19">
        <v>8371254.2598239612</v>
      </c>
      <c r="G33" s="19">
        <v>70555522.930478022</v>
      </c>
      <c r="H33" s="19">
        <v>5934378.870974415</v>
      </c>
      <c r="I33" s="19">
        <v>3191960</v>
      </c>
      <c r="M33" s="421"/>
      <c r="N33" s="421"/>
      <c r="O33" s="421"/>
      <c r="P33" s="421"/>
      <c r="Q33" s="421"/>
    </row>
    <row r="34" spans="1:17">
      <c r="A34" s="5">
        <v>16</v>
      </c>
      <c r="B34" s="18" t="s">
        <v>165</v>
      </c>
      <c r="C34" s="10"/>
      <c r="D34" s="10"/>
      <c r="E34" s="19">
        <v>76057802.949999988</v>
      </c>
      <c r="F34" s="19">
        <v>8601954.9434527103</v>
      </c>
      <c r="G34" s="19">
        <v>71943096.550478011</v>
      </c>
      <c r="H34" s="19">
        <v>5986684.3955334984</v>
      </c>
      <c r="I34" s="19">
        <v>3554346</v>
      </c>
      <c r="M34" s="421"/>
      <c r="N34" s="421"/>
      <c r="O34" s="421"/>
      <c r="P34" s="421"/>
      <c r="Q34" s="421"/>
    </row>
    <row r="35" spans="1:17">
      <c r="A35" s="5">
        <v>17</v>
      </c>
      <c r="B35" s="3" t="s">
        <v>166</v>
      </c>
      <c r="C35" s="10"/>
      <c r="D35" s="10"/>
      <c r="E35" s="19">
        <v>76431088</v>
      </c>
      <c r="F35" s="19">
        <v>8692190.438350711</v>
      </c>
      <c r="G35" s="19">
        <v>71702303.480477989</v>
      </c>
      <c r="H35" s="19">
        <v>6217779.5748803737</v>
      </c>
      <c r="I35" s="19">
        <v>3713464</v>
      </c>
      <c r="M35" s="421"/>
      <c r="N35" s="421"/>
      <c r="O35" s="421"/>
      <c r="P35" s="421"/>
      <c r="Q35" s="421"/>
    </row>
    <row r="36" spans="1:17">
      <c r="A36" s="5">
        <v>18</v>
      </c>
      <c r="B36" s="3" t="s">
        <v>333</v>
      </c>
      <c r="C36" s="10"/>
      <c r="D36" s="10"/>
      <c r="E36" s="19">
        <v>77276340.75999999</v>
      </c>
      <c r="F36" s="19">
        <v>8878596.2767290045</v>
      </c>
      <c r="G36" s="19">
        <v>71091275.53047803</v>
      </c>
      <c r="H36" s="19">
        <v>5948362.9592285408</v>
      </c>
      <c r="I36" s="19">
        <v>3874647</v>
      </c>
      <c r="M36" s="421"/>
      <c r="N36" s="421"/>
      <c r="O36" s="421"/>
      <c r="P36" s="421"/>
      <c r="Q36" s="421"/>
    </row>
    <row r="37" spans="1:17">
      <c r="A37" s="5">
        <v>19</v>
      </c>
      <c r="B37" s="3" t="s">
        <v>167</v>
      </c>
      <c r="C37" s="10"/>
      <c r="D37" s="10"/>
      <c r="E37" s="19">
        <v>76926940.739999995</v>
      </c>
      <c r="F37" s="19">
        <v>9070399.0130635425</v>
      </c>
      <c r="G37" s="19">
        <v>72272302.63047801</v>
      </c>
      <c r="H37" s="19">
        <v>5974888.7273133332</v>
      </c>
      <c r="I37" s="19">
        <v>3976184</v>
      </c>
      <c r="M37" s="421"/>
      <c r="N37" s="421"/>
      <c r="O37" s="421"/>
      <c r="P37" s="421"/>
      <c r="Q37" s="421"/>
    </row>
    <row r="38" spans="1:17">
      <c r="A38" s="5">
        <v>20</v>
      </c>
      <c r="B38" s="3" t="s">
        <v>168</v>
      </c>
      <c r="C38" s="10"/>
      <c r="D38" s="10"/>
      <c r="E38" s="19">
        <v>77738185.150000006</v>
      </c>
      <c r="F38" s="19">
        <v>9266941.4173779599</v>
      </c>
      <c r="G38" s="19">
        <v>72883604.690477997</v>
      </c>
      <c r="H38" s="19">
        <v>6023622.9303130833</v>
      </c>
      <c r="I38" s="19">
        <v>4051441</v>
      </c>
      <c r="M38" s="421"/>
      <c r="N38" s="421"/>
      <c r="O38" s="421"/>
      <c r="P38" s="421"/>
      <c r="Q38" s="421"/>
    </row>
    <row r="39" spans="1:17">
      <c r="A39" s="5">
        <v>21</v>
      </c>
      <c r="B39" s="3" t="s">
        <v>169</v>
      </c>
      <c r="C39" s="10"/>
      <c r="D39" s="10"/>
      <c r="E39" s="19">
        <v>77133065.219999984</v>
      </c>
      <c r="F39" s="19">
        <v>9463604.1528297514</v>
      </c>
      <c r="G39" s="19">
        <v>73008318.493176252</v>
      </c>
      <c r="H39" s="19">
        <v>6128638.9295089561</v>
      </c>
      <c r="I39" s="19">
        <v>4205810</v>
      </c>
      <c r="M39" s="421"/>
      <c r="N39" s="421"/>
      <c r="O39" s="421"/>
      <c r="P39" s="421"/>
      <c r="Q39" s="421"/>
    </row>
    <row r="40" spans="1:17">
      <c r="A40" s="5">
        <v>22</v>
      </c>
      <c r="B40" s="3" t="s">
        <v>170</v>
      </c>
      <c r="C40" s="10"/>
      <c r="D40" s="10"/>
      <c r="E40" s="19">
        <v>77933899.610000014</v>
      </c>
      <c r="F40" s="19">
        <v>9661094.9145317916</v>
      </c>
      <c r="G40" s="19">
        <v>74020569.560478002</v>
      </c>
      <c r="H40" s="19">
        <v>6245709.0756622497</v>
      </c>
      <c r="I40" s="19">
        <v>4359414</v>
      </c>
      <c r="M40" s="421"/>
      <c r="N40" s="421"/>
      <c r="O40" s="421"/>
      <c r="P40" s="421"/>
      <c r="Q40" s="421"/>
    </row>
    <row r="41" spans="1:17">
      <c r="A41" s="5">
        <v>23</v>
      </c>
      <c r="B41" s="3" t="s">
        <v>334</v>
      </c>
      <c r="C41" s="10"/>
      <c r="D41" s="10"/>
      <c r="E41" s="19">
        <v>78854285.950000003</v>
      </c>
      <c r="F41" s="19">
        <v>9859197.1631752905</v>
      </c>
      <c r="G41" s="19">
        <v>74567151.970477983</v>
      </c>
      <c r="H41" s="19">
        <v>6268017.3249496259</v>
      </c>
      <c r="I41" s="19">
        <v>4483687</v>
      </c>
      <c r="M41" s="421"/>
      <c r="N41" s="421"/>
      <c r="O41" s="421"/>
      <c r="P41" s="421"/>
      <c r="Q41" s="421"/>
    </row>
    <row r="42" spans="1:17">
      <c r="A42" s="5">
        <v>24</v>
      </c>
      <c r="B42" s="3" t="s">
        <v>171</v>
      </c>
      <c r="C42" s="10"/>
      <c r="D42" s="10"/>
      <c r="E42" s="19">
        <v>79063152.230000004</v>
      </c>
      <c r="F42" s="19">
        <v>9660127.0472095013</v>
      </c>
      <c r="G42" s="19">
        <v>74308293.028734967</v>
      </c>
      <c r="H42" s="19">
        <v>6409983.431503498</v>
      </c>
      <c r="I42" s="19">
        <v>4584715</v>
      </c>
      <c r="M42" s="421"/>
      <c r="N42" s="421"/>
      <c r="O42" s="421"/>
      <c r="P42" s="421"/>
      <c r="Q42" s="421"/>
    </row>
    <row r="43" spans="1:17">
      <c r="A43" s="5">
        <v>25</v>
      </c>
      <c r="B43" s="3" t="s">
        <v>172</v>
      </c>
      <c r="C43" s="10"/>
      <c r="D43" s="10"/>
      <c r="E43" s="19">
        <v>80655803.090000004</v>
      </c>
      <c r="F43" s="19">
        <v>10264027.083633626</v>
      </c>
      <c r="G43" s="19">
        <v>75312616.870478019</v>
      </c>
      <c r="H43" s="19">
        <v>6612513.1413327074</v>
      </c>
      <c r="I43" s="19">
        <v>4748981</v>
      </c>
      <c r="M43" s="421"/>
      <c r="N43" s="421"/>
      <c r="O43" s="421"/>
      <c r="P43" s="421"/>
      <c r="Q43" s="421"/>
    </row>
    <row r="44" spans="1:17">
      <c r="A44" s="5">
        <v>26</v>
      </c>
      <c r="B44" s="3" t="s">
        <v>173</v>
      </c>
      <c r="C44" s="10"/>
      <c r="D44" s="10"/>
      <c r="E44" s="19">
        <v>81557636.609999985</v>
      </c>
      <c r="F44" s="19">
        <v>10252048.543007085</v>
      </c>
      <c r="G44" s="19">
        <v>75935495.300477982</v>
      </c>
      <c r="H44" s="19">
        <v>6765403.8578795409</v>
      </c>
      <c r="I44" s="19">
        <v>4900209</v>
      </c>
      <c r="M44" s="421"/>
      <c r="N44" s="421"/>
      <c r="O44" s="421"/>
      <c r="P44" s="421"/>
      <c r="Q44" s="421"/>
    </row>
    <row r="45" spans="1:17">
      <c r="A45" s="5">
        <v>27</v>
      </c>
      <c r="B45" s="3" t="s">
        <v>335</v>
      </c>
      <c r="C45" s="10"/>
      <c r="D45" s="10"/>
      <c r="E45" s="19">
        <v>81014430.340000004</v>
      </c>
      <c r="F45" s="19">
        <v>10121094.877163667</v>
      </c>
      <c r="G45" s="19">
        <v>76028791.040478006</v>
      </c>
      <c r="H45" s="19">
        <v>6739376.9535216242</v>
      </c>
      <c r="I45" s="19">
        <v>5058700</v>
      </c>
      <c r="M45" s="421"/>
      <c r="N45" s="421"/>
      <c r="O45" s="421"/>
      <c r="P45" s="421"/>
      <c r="Q45" s="421"/>
    </row>
    <row r="46" spans="1:17" ht="13.8" thickBot="1">
      <c r="A46" s="5">
        <v>28</v>
      </c>
      <c r="B46" s="20" t="s">
        <v>336</v>
      </c>
      <c r="C46" s="21">
        <f t="shared" ref="C46:I46" si="1">SUM(C33:C45)/13</f>
        <v>0</v>
      </c>
      <c r="D46" s="21">
        <f t="shared" si="1"/>
        <v>0</v>
      </c>
      <c r="E46" s="21">
        <f t="shared" si="1"/>
        <v>77990442.206153855</v>
      </c>
      <c r="F46" s="21">
        <f t="shared" si="1"/>
        <v>9397117.7023345083</v>
      </c>
      <c r="G46" s="21">
        <f t="shared" si="1"/>
        <v>73356103.236705318</v>
      </c>
      <c r="H46" s="21">
        <f t="shared" si="1"/>
        <v>6250412.3209693413</v>
      </c>
      <c r="I46" s="21">
        <f t="shared" si="1"/>
        <v>4207966</v>
      </c>
      <c r="M46" s="764"/>
      <c r="N46" s="764"/>
      <c r="O46" s="763"/>
      <c r="P46" s="764"/>
      <c r="Q46" s="764"/>
    </row>
    <row r="47" spans="1:17" ht="13.8" thickTop="1">
      <c r="A47" s="5"/>
      <c r="B47" s="3"/>
    </row>
    <row r="48" spans="1:17">
      <c r="B48" s="3"/>
      <c r="C48" s="22"/>
      <c r="D48" s="23"/>
      <c r="E48" s="23"/>
      <c r="F48" s="23"/>
      <c r="G48" s="22"/>
      <c r="H48" s="22"/>
      <c r="I48" s="22"/>
    </row>
    <row r="49" spans="1:17">
      <c r="A49" s="5"/>
      <c r="C49" s="3"/>
      <c r="E49" s="447" t="str">
        <f>E1</f>
        <v>Worksheet A4</v>
      </c>
      <c r="F49" s="3"/>
      <c r="H49" s="3"/>
      <c r="I49" s="3"/>
      <c r="J49" s="3"/>
      <c r="K49" s="3"/>
      <c r="L49" s="3"/>
      <c r="M49" s="727"/>
      <c r="N49" s="3"/>
      <c r="O49" s="3"/>
      <c r="P49" s="3"/>
      <c r="Q49" s="3"/>
    </row>
    <row r="50" spans="1:17">
      <c r="A50" s="5"/>
      <c r="C50" s="3"/>
      <c r="D50" s="3"/>
      <c r="E50" s="13" t="str">
        <f>E2</f>
        <v>Rate Base Worksheet</v>
      </c>
      <c r="F50" s="3"/>
      <c r="H50" s="3"/>
      <c r="I50" s="3"/>
      <c r="J50" s="3"/>
      <c r="K50" s="3"/>
      <c r="L50" s="3"/>
      <c r="M50" s="765"/>
      <c r="N50" s="3"/>
      <c r="O50" s="3"/>
      <c r="P50" s="3"/>
      <c r="Q50" s="3"/>
    </row>
    <row r="51" spans="1:17">
      <c r="A51" s="5"/>
      <c r="C51" s="3"/>
      <c r="E51" s="224" t="str">
        <f>E3</f>
        <v>Cheyenne Light, Fuel &amp; Power</v>
      </c>
      <c r="F51" s="3"/>
      <c r="H51" s="3"/>
      <c r="I51" s="188" t="s">
        <v>978</v>
      </c>
      <c r="J51" s="3"/>
      <c r="K51" s="3"/>
      <c r="L51" s="3"/>
      <c r="M51" s="3"/>
      <c r="N51" s="3"/>
      <c r="O51" s="3"/>
      <c r="P51" s="3"/>
      <c r="Q51" s="3"/>
    </row>
    <row r="52" spans="1:17">
      <c r="A52" s="5"/>
      <c r="B52" s="3"/>
      <c r="C52" s="22"/>
      <c r="D52" s="23"/>
      <c r="E52" s="23"/>
      <c r="F52" s="23"/>
      <c r="G52" s="22"/>
      <c r="H52" s="22"/>
      <c r="I52" s="22"/>
    </row>
    <row r="53" spans="1:17">
      <c r="A53" s="5"/>
      <c r="B53" s="24"/>
      <c r="C53" s="805" t="s">
        <v>937</v>
      </c>
      <c r="D53" s="806"/>
      <c r="E53" s="806"/>
      <c r="F53" s="806"/>
      <c r="G53" s="806"/>
      <c r="H53" s="806"/>
      <c r="I53" s="807"/>
    </row>
    <row r="54" spans="1:17" ht="102" customHeight="1">
      <c r="A54" s="5" t="s">
        <v>320</v>
      </c>
      <c r="B54" s="13" t="s">
        <v>268</v>
      </c>
      <c r="C54" s="14" t="s">
        <v>337</v>
      </c>
      <c r="D54" s="14" t="s">
        <v>338</v>
      </c>
      <c r="E54" s="14" t="s">
        <v>339</v>
      </c>
      <c r="F54" s="14" t="s">
        <v>340</v>
      </c>
      <c r="G54" s="14" t="s">
        <v>341</v>
      </c>
      <c r="H54" s="14" t="s">
        <v>342</v>
      </c>
      <c r="I54" s="14" t="s">
        <v>1129</v>
      </c>
    </row>
    <row r="55" spans="1:17" s="16" customFormat="1">
      <c r="A55" s="5"/>
      <c r="B55" s="13" t="s">
        <v>157</v>
      </c>
      <c r="C55" s="14" t="s">
        <v>158</v>
      </c>
      <c r="D55" s="14" t="s">
        <v>159</v>
      </c>
      <c r="E55" s="14" t="s">
        <v>160</v>
      </c>
      <c r="F55" s="14" t="s">
        <v>161</v>
      </c>
      <c r="G55" s="14" t="s">
        <v>162</v>
      </c>
      <c r="H55" s="14" t="s">
        <v>163</v>
      </c>
      <c r="I55" s="14" t="s">
        <v>164</v>
      </c>
    </row>
    <row r="56" spans="1:17" s="16" customFormat="1">
      <c r="A56" s="5"/>
      <c r="B56" s="17" t="s">
        <v>328</v>
      </c>
      <c r="C56" s="10" t="s">
        <v>343</v>
      </c>
      <c r="D56" s="14" t="s">
        <v>344</v>
      </c>
      <c r="E56" s="14" t="s">
        <v>1132</v>
      </c>
      <c r="F56" s="14" t="s">
        <v>1132</v>
      </c>
      <c r="G56" s="14" t="s">
        <v>1132</v>
      </c>
      <c r="H56" s="14" t="s">
        <v>1132</v>
      </c>
      <c r="I56" s="14">
        <v>111.57</v>
      </c>
      <c r="Q56" s="763"/>
    </row>
    <row r="57" spans="1:17">
      <c r="A57" s="5">
        <v>1</v>
      </c>
      <c r="B57" s="18" t="s">
        <v>332</v>
      </c>
      <c r="C57" s="19">
        <v>0</v>
      </c>
      <c r="D57" s="19">
        <v>0</v>
      </c>
      <c r="E57" s="174">
        <f>'A3-ADIT'!D12</f>
        <v>0</v>
      </c>
      <c r="F57" s="174">
        <f>'A3-ADIT'!D13</f>
        <v>-74674604.139379382</v>
      </c>
      <c r="G57" s="174">
        <f>'A3-ADIT'!D14</f>
        <v>-2910132</v>
      </c>
      <c r="H57" s="174">
        <f>'A3-ADIT'!D15</f>
        <v>25144204</v>
      </c>
      <c r="I57" s="19">
        <v>1860099</v>
      </c>
      <c r="K57" s="421"/>
      <c r="L57" s="421"/>
      <c r="Q57" s="421"/>
    </row>
    <row r="58" spans="1:17">
      <c r="A58" s="5">
        <v>2</v>
      </c>
      <c r="B58" s="18" t="s">
        <v>165</v>
      </c>
      <c r="C58" s="19">
        <v>0</v>
      </c>
      <c r="D58" s="19">
        <v>0</v>
      </c>
      <c r="E58" s="25"/>
      <c r="F58" s="25"/>
      <c r="G58" s="25"/>
      <c r="H58" s="25"/>
      <c r="I58" s="19">
        <v>1743984</v>
      </c>
      <c r="K58" s="421"/>
      <c r="L58" s="421"/>
      <c r="Q58" s="421"/>
    </row>
    <row r="59" spans="1:17">
      <c r="A59" s="5">
        <v>3</v>
      </c>
      <c r="B59" s="3" t="s">
        <v>166</v>
      </c>
      <c r="C59" s="19">
        <v>0</v>
      </c>
      <c r="D59" s="19">
        <v>0</v>
      </c>
      <c r="E59" s="25"/>
      <c r="F59" s="25"/>
      <c r="G59" s="25"/>
      <c r="H59" s="25"/>
      <c r="I59" s="19">
        <v>1697032</v>
      </c>
      <c r="K59" s="421"/>
      <c r="L59" s="421"/>
      <c r="Q59" s="421"/>
    </row>
    <row r="60" spans="1:17">
      <c r="A60" s="5">
        <v>4</v>
      </c>
      <c r="B60" s="3" t="s">
        <v>333</v>
      </c>
      <c r="C60" s="19">
        <v>0</v>
      </c>
      <c r="D60" s="19">
        <v>0</v>
      </c>
      <c r="E60" s="25"/>
      <c r="F60" s="25"/>
      <c r="G60" s="25"/>
      <c r="H60" s="25"/>
      <c r="I60" s="19">
        <v>1741603</v>
      </c>
      <c r="K60" s="421"/>
      <c r="L60" s="421"/>
      <c r="Q60" s="421"/>
    </row>
    <row r="61" spans="1:17">
      <c r="A61" s="5">
        <v>5</v>
      </c>
      <c r="B61" s="3" t="s">
        <v>167</v>
      </c>
      <c r="C61" s="19">
        <v>0</v>
      </c>
      <c r="D61" s="19">
        <v>0</v>
      </c>
      <c r="E61" s="25"/>
      <c r="F61" s="25"/>
      <c r="G61" s="25"/>
      <c r="H61" s="25"/>
      <c r="I61" s="19">
        <v>1757028</v>
      </c>
      <c r="K61" s="421"/>
      <c r="L61" s="421"/>
      <c r="Q61" s="421"/>
    </row>
    <row r="62" spans="1:17">
      <c r="A62" s="5">
        <v>6</v>
      </c>
      <c r="B62" s="3" t="s">
        <v>168</v>
      </c>
      <c r="C62" s="19">
        <v>0</v>
      </c>
      <c r="D62" s="19">
        <v>0</v>
      </c>
      <c r="E62" s="25"/>
      <c r="F62" s="25"/>
      <c r="G62" s="25"/>
      <c r="H62" s="25"/>
      <c r="I62" s="19">
        <v>1672578</v>
      </c>
      <c r="K62" s="421"/>
      <c r="L62" s="421"/>
      <c r="Q62" s="421"/>
    </row>
    <row r="63" spans="1:17">
      <c r="A63" s="5">
        <v>7</v>
      </c>
      <c r="B63" s="3" t="s">
        <v>169</v>
      </c>
      <c r="C63" s="19">
        <v>0</v>
      </c>
      <c r="D63" s="19">
        <v>0</v>
      </c>
      <c r="E63" s="25"/>
      <c r="F63" s="25"/>
      <c r="G63" s="25"/>
      <c r="H63" s="25"/>
      <c r="I63" s="19">
        <v>1599853</v>
      </c>
      <c r="K63" s="421"/>
      <c r="L63" s="421"/>
      <c r="Q63" s="421"/>
    </row>
    <row r="64" spans="1:17">
      <c r="A64" s="5">
        <v>8</v>
      </c>
      <c r="B64" s="3" t="s">
        <v>170</v>
      </c>
      <c r="C64" s="19">
        <v>0</v>
      </c>
      <c r="D64" s="19">
        <v>0</v>
      </c>
      <c r="E64" s="25"/>
      <c r="F64" s="25"/>
      <c r="G64" s="25"/>
      <c r="H64" s="25"/>
      <c r="I64" s="19">
        <v>1548381</v>
      </c>
      <c r="K64" s="421"/>
      <c r="L64" s="421"/>
      <c r="Q64" s="421"/>
    </row>
    <row r="65" spans="1:18">
      <c r="A65" s="5">
        <v>9</v>
      </c>
      <c r="B65" s="3" t="s">
        <v>334</v>
      </c>
      <c r="C65" s="19">
        <v>0</v>
      </c>
      <c r="D65" s="19">
        <v>0</v>
      </c>
      <c r="E65" s="25"/>
      <c r="F65" s="25"/>
      <c r="G65" s="25"/>
      <c r="H65" s="25"/>
      <c r="I65" s="19">
        <v>1463365</v>
      </c>
      <c r="K65" s="421"/>
      <c r="L65" s="421"/>
      <c r="Q65" s="421"/>
    </row>
    <row r="66" spans="1:18">
      <c r="A66" s="5">
        <v>10</v>
      </c>
      <c r="B66" s="3" t="s">
        <v>171</v>
      </c>
      <c r="C66" s="19">
        <v>0</v>
      </c>
      <c r="D66" s="19">
        <v>0</v>
      </c>
      <c r="E66" s="25"/>
      <c r="F66" s="25"/>
      <c r="G66" s="25"/>
      <c r="H66" s="25"/>
      <c r="I66" s="19">
        <v>1349595</v>
      </c>
      <c r="K66" s="421"/>
      <c r="L66" s="421"/>
      <c r="Q66" s="421"/>
    </row>
    <row r="67" spans="1:18">
      <c r="A67" s="5">
        <v>11</v>
      </c>
      <c r="B67" s="3" t="s">
        <v>172</v>
      </c>
      <c r="C67" s="19">
        <v>0</v>
      </c>
      <c r="D67" s="19">
        <v>0</v>
      </c>
      <c r="E67" s="25"/>
      <c r="F67" s="25"/>
      <c r="G67" s="25"/>
      <c r="H67" s="25"/>
      <c r="I67" s="19">
        <v>2151056</v>
      </c>
      <c r="K67" s="421"/>
      <c r="L67" s="421"/>
      <c r="Q67" s="421"/>
    </row>
    <row r="68" spans="1:18">
      <c r="A68" s="5">
        <v>12</v>
      </c>
      <c r="B68" s="3" t="s">
        <v>173</v>
      </c>
      <c r="C68" s="19">
        <v>0</v>
      </c>
      <c r="D68" s="19">
        <v>0</v>
      </c>
      <c r="E68" s="25"/>
      <c r="F68" s="25"/>
      <c r="G68" s="25"/>
      <c r="H68" s="25"/>
      <c r="I68" s="19">
        <v>1675760</v>
      </c>
      <c r="K68" s="421"/>
      <c r="L68" s="421"/>
      <c r="Q68" s="421"/>
    </row>
    <row r="69" spans="1:18">
      <c r="A69" s="5">
        <v>13</v>
      </c>
      <c r="B69" s="3" t="s">
        <v>335</v>
      </c>
      <c r="C69" s="19">
        <v>0</v>
      </c>
      <c r="D69" s="19">
        <v>0</v>
      </c>
      <c r="E69" s="174">
        <v>0</v>
      </c>
      <c r="F69" s="174">
        <f>'A3-ADIT'!E13</f>
        <v>-78947475.551625118</v>
      </c>
      <c r="G69" s="174">
        <f>'A3-ADIT'!E14</f>
        <v>-5236489</v>
      </c>
      <c r="H69" s="174">
        <f>'A3-ADIT'!E15</f>
        <v>28318638</v>
      </c>
      <c r="I69" s="19">
        <v>1610772</v>
      </c>
      <c r="K69" s="421"/>
      <c r="L69" s="421"/>
      <c r="Q69" s="421"/>
    </row>
    <row r="70" spans="1:18" ht="13.8" thickBot="1">
      <c r="A70" s="5">
        <v>14</v>
      </c>
      <c r="B70" s="17" t="s">
        <v>345</v>
      </c>
      <c r="C70" s="21">
        <f>SUM(C57:C69)/13</f>
        <v>0</v>
      </c>
      <c r="D70" s="26">
        <f>SUM(D57:D69)/13</f>
        <v>0</v>
      </c>
      <c r="E70" s="432">
        <f>'A3-ADIT'!F12</f>
        <v>0</v>
      </c>
      <c r="F70" s="432">
        <f>'A3-ADIT'!F13</f>
        <v>-76811039.845502257</v>
      </c>
      <c r="G70" s="432">
        <f>'A3-ADIT'!F14</f>
        <v>-4073310.5</v>
      </c>
      <c r="H70" s="432">
        <f>'A3-ADIT'!F15</f>
        <v>26731421</v>
      </c>
      <c r="I70" s="683">
        <f t="shared" ref="I70" si="2">SUM(I57:I69)/13</f>
        <v>1682392.7692307692</v>
      </c>
      <c r="Q70" s="763"/>
    </row>
    <row r="71" spans="1:18" ht="13.8" thickTop="1">
      <c r="A71" s="5">
        <v>15</v>
      </c>
      <c r="B71" s="3" t="s">
        <v>1103</v>
      </c>
      <c r="I71" s="23"/>
    </row>
    <row r="72" spans="1:18" s="16" customFormat="1">
      <c r="A72" s="5"/>
      <c r="B72" s="27"/>
      <c r="C72" s="28"/>
      <c r="D72" s="28"/>
      <c r="E72" s="28"/>
      <c r="F72" s="28"/>
      <c r="G72" s="28"/>
      <c r="H72" s="2"/>
      <c r="I72" s="2"/>
      <c r="J72" s="2"/>
      <c r="K72" s="2"/>
      <c r="L72" s="2"/>
      <c r="M72" s="2"/>
      <c r="N72" s="2"/>
      <c r="O72" s="2"/>
      <c r="P72" s="2"/>
      <c r="Q72" s="2"/>
    </row>
    <row r="73" spans="1:18" s="16" customFormat="1">
      <c r="A73" s="5"/>
      <c r="B73" s="27"/>
      <c r="C73" s="28"/>
      <c r="D73" s="28"/>
      <c r="E73" s="28"/>
      <c r="F73" s="28"/>
      <c r="G73" s="28"/>
      <c r="H73" s="2"/>
      <c r="I73" s="2"/>
      <c r="J73" s="2"/>
      <c r="K73" s="2"/>
      <c r="L73" s="2"/>
      <c r="M73" s="2"/>
      <c r="N73" s="2"/>
      <c r="O73" s="2"/>
      <c r="P73" s="2"/>
      <c r="Q73" s="2"/>
      <c r="R73" s="2"/>
    </row>
    <row r="74" spans="1:18" s="16" customFormat="1">
      <c r="A74" s="5"/>
      <c r="B74" s="186" t="s">
        <v>346</v>
      </c>
      <c r="C74" s="28"/>
      <c r="D74" s="28"/>
      <c r="E74" s="28"/>
      <c r="F74" s="28"/>
      <c r="G74" s="28"/>
      <c r="H74" s="2"/>
      <c r="I74" s="2"/>
      <c r="J74" s="2"/>
      <c r="K74" s="2"/>
      <c r="L74" s="2"/>
      <c r="M74" s="2"/>
      <c r="N74" s="2"/>
      <c r="O74" s="2"/>
      <c r="P74" s="2"/>
      <c r="Q74" s="2"/>
    </row>
    <row r="75" spans="1:18" s="16" customFormat="1" ht="92.25" customHeight="1">
      <c r="A75" s="5">
        <f>+A70+1</f>
        <v>15</v>
      </c>
      <c r="B75" s="29" t="s">
        <v>347</v>
      </c>
      <c r="C75" s="30"/>
      <c r="D75" s="31" t="s">
        <v>1087</v>
      </c>
      <c r="E75" s="31" t="s">
        <v>800</v>
      </c>
      <c r="F75" s="31" t="s">
        <v>801</v>
      </c>
      <c r="G75" s="31" t="s">
        <v>348</v>
      </c>
      <c r="H75" s="32" t="s">
        <v>349</v>
      </c>
      <c r="I75" s="32" t="s">
        <v>350</v>
      </c>
      <c r="J75" s="29"/>
      <c r="K75" s="29"/>
      <c r="L75" s="29"/>
      <c r="M75" s="29"/>
      <c r="N75" s="29"/>
      <c r="O75" s="29"/>
      <c r="P75" s="29"/>
      <c r="Q75" s="29"/>
      <c r="R75" s="29"/>
    </row>
    <row r="76" spans="1:18" s="16" customFormat="1">
      <c r="A76" s="5">
        <v>16</v>
      </c>
      <c r="B76" s="2"/>
      <c r="C76" s="33" t="s">
        <v>351</v>
      </c>
      <c r="D76" s="34"/>
      <c r="E76" s="34"/>
      <c r="F76" s="34"/>
      <c r="G76" s="34"/>
      <c r="H76" s="34"/>
      <c r="I76" s="35">
        <f t="shared" ref="I76:I81" si="3">+H76*E76*D76*F76*G76</f>
        <v>0</v>
      </c>
      <c r="J76" s="2"/>
      <c r="K76" s="421"/>
      <c r="L76" s="421"/>
      <c r="M76" s="421"/>
      <c r="N76" s="421"/>
      <c r="O76" s="421"/>
      <c r="P76" s="421"/>
      <c r="Q76" s="2"/>
      <c r="R76" s="2"/>
    </row>
    <row r="77" spans="1:18" s="16" customFormat="1">
      <c r="A77" s="5">
        <v>17</v>
      </c>
      <c r="B77" s="2"/>
      <c r="C77" s="33" t="s">
        <v>352</v>
      </c>
      <c r="D77" s="36"/>
      <c r="E77" s="34"/>
      <c r="F77" s="34"/>
      <c r="G77" s="34"/>
      <c r="H77" s="34"/>
      <c r="I77" s="35">
        <f t="shared" si="3"/>
        <v>0</v>
      </c>
      <c r="J77" s="2"/>
      <c r="K77" s="421"/>
      <c r="L77" s="421"/>
      <c r="M77" s="421"/>
      <c r="N77" s="421"/>
      <c r="O77" s="421"/>
      <c r="P77" s="421"/>
      <c r="Q77" s="2"/>
      <c r="R77" s="2"/>
    </row>
    <row r="78" spans="1:18" s="16" customFormat="1">
      <c r="A78" s="5">
        <v>18</v>
      </c>
      <c r="B78" s="2"/>
      <c r="C78" s="33" t="s">
        <v>353</v>
      </c>
      <c r="D78" s="36"/>
      <c r="E78" s="34"/>
      <c r="F78" s="37"/>
      <c r="G78" s="37"/>
      <c r="H78" s="34"/>
      <c r="I78" s="35">
        <f t="shared" si="3"/>
        <v>0</v>
      </c>
      <c r="J78" s="2"/>
      <c r="K78" s="421"/>
      <c r="L78" s="421"/>
      <c r="M78" s="421"/>
      <c r="N78" s="421"/>
      <c r="O78" s="421"/>
      <c r="P78" s="421"/>
      <c r="Q78" s="2"/>
      <c r="R78" s="2"/>
    </row>
    <row r="79" spans="1:18" s="16" customFormat="1">
      <c r="A79" s="5">
        <v>19</v>
      </c>
      <c r="B79" s="2"/>
      <c r="C79" s="33" t="s">
        <v>354</v>
      </c>
      <c r="D79" s="36"/>
      <c r="E79" s="34"/>
      <c r="F79" s="37"/>
      <c r="G79" s="37"/>
      <c r="H79" s="34"/>
      <c r="I79" s="35">
        <f t="shared" si="3"/>
        <v>0</v>
      </c>
      <c r="J79" s="2"/>
      <c r="K79" s="421"/>
      <c r="L79" s="421"/>
      <c r="M79" s="421"/>
      <c r="N79" s="421"/>
      <c r="O79" s="421"/>
      <c r="P79" s="421"/>
      <c r="Q79" s="2"/>
      <c r="R79" s="2"/>
    </row>
    <row r="80" spans="1:18" s="16" customFormat="1">
      <c r="A80" s="5">
        <v>20</v>
      </c>
      <c r="B80" s="2"/>
      <c r="C80" s="33" t="s">
        <v>355</v>
      </c>
      <c r="D80" s="36"/>
      <c r="E80" s="34"/>
      <c r="F80" s="37"/>
      <c r="G80" s="37"/>
      <c r="H80" s="34"/>
      <c r="I80" s="35">
        <f t="shared" si="3"/>
        <v>0</v>
      </c>
      <c r="J80" s="2"/>
      <c r="K80" s="421"/>
      <c r="L80" s="421"/>
      <c r="M80" s="421"/>
      <c r="N80" s="421"/>
      <c r="O80" s="421"/>
      <c r="P80" s="421"/>
      <c r="Q80" s="2"/>
      <c r="R80" s="2"/>
    </row>
    <row r="81" spans="1:18" s="16" customFormat="1">
      <c r="A81" s="5">
        <v>21</v>
      </c>
      <c r="B81" s="2"/>
      <c r="C81" s="38" t="s">
        <v>355</v>
      </c>
      <c r="D81" s="39"/>
      <c r="E81" s="40"/>
      <c r="F81" s="41"/>
      <c r="G81" s="41"/>
      <c r="H81" s="40"/>
      <c r="I81" s="42">
        <f t="shared" si="3"/>
        <v>0</v>
      </c>
      <c r="J81" s="2"/>
      <c r="K81" s="421"/>
      <c r="L81" s="421"/>
      <c r="M81" s="421"/>
      <c r="N81" s="421"/>
      <c r="O81" s="421"/>
      <c r="P81" s="421"/>
      <c r="Q81" s="2"/>
      <c r="R81" s="2"/>
    </row>
    <row r="82" spans="1:18" s="16" customFormat="1">
      <c r="A82" s="5">
        <v>22</v>
      </c>
      <c r="B82" s="2"/>
      <c r="C82" s="29" t="s">
        <v>9</v>
      </c>
      <c r="D82" s="43">
        <f t="shared" ref="D82:I82" si="4">SUM(D76:D81)</f>
        <v>0</v>
      </c>
      <c r="E82" s="43">
        <f t="shared" si="4"/>
        <v>0</v>
      </c>
      <c r="F82" s="43">
        <f t="shared" si="4"/>
        <v>0</v>
      </c>
      <c r="G82" s="43">
        <f t="shared" si="4"/>
        <v>0</v>
      </c>
      <c r="H82" s="43">
        <f t="shared" si="4"/>
        <v>0</v>
      </c>
      <c r="I82" s="35">
        <f t="shared" si="4"/>
        <v>0</v>
      </c>
      <c r="J82" s="2"/>
      <c r="K82" s="2"/>
      <c r="L82" s="2"/>
      <c r="M82" s="2"/>
      <c r="N82" s="2"/>
      <c r="O82" s="2"/>
      <c r="P82" s="2"/>
      <c r="Q82" s="2"/>
      <c r="R82" s="2"/>
    </row>
    <row r="83" spans="1:18">
      <c r="C83" s="3"/>
      <c r="E83" s="447" t="str">
        <f>E1</f>
        <v>Worksheet A4</v>
      </c>
      <c r="F83" s="3"/>
      <c r="H83" s="3"/>
      <c r="I83" s="3"/>
      <c r="J83" s="3"/>
      <c r="K83" s="3"/>
      <c r="L83" s="3"/>
      <c r="M83" s="3"/>
      <c r="N83" s="3"/>
      <c r="O83" s="3"/>
      <c r="P83" s="3"/>
      <c r="Q83" s="3"/>
    </row>
    <row r="84" spans="1:18">
      <c r="A84" s="5"/>
      <c r="C84" s="3"/>
      <c r="D84" s="3"/>
      <c r="E84" s="447" t="str">
        <f t="shared" ref="E84:E85" si="5">E2</f>
        <v>Rate Base Worksheet</v>
      </c>
      <c r="F84" s="3"/>
      <c r="H84" s="3"/>
      <c r="I84" s="3"/>
      <c r="J84" s="3"/>
      <c r="K84" s="3"/>
      <c r="L84" s="3"/>
      <c r="M84" s="3"/>
      <c r="N84" s="3"/>
      <c r="O84" s="3"/>
      <c r="P84" s="3"/>
      <c r="Q84" s="3"/>
    </row>
    <row r="85" spans="1:18" ht="15">
      <c r="A85" s="5"/>
      <c r="C85" s="3"/>
      <c r="E85" s="447" t="str">
        <f t="shared" si="5"/>
        <v>Cheyenne Light, Fuel &amp; Power</v>
      </c>
      <c r="F85" s="3"/>
      <c r="H85"/>
      <c r="I85" s="188" t="s">
        <v>966</v>
      </c>
      <c r="J85" s="3"/>
      <c r="K85" s="3"/>
      <c r="L85" s="3"/>
      <c r="M85" s="3"/>
      <c r="N85" s="3"/>
      <c r="O85" s="3"/>
      <c r="P85" s="3"/>
      <c r="Q85" s="3"/>
    </row>
    <row r="86" spans="1:18" ht="15">
      <c r="A86" s="5"/>
      <c r="B86" s="3"/>
      <c r="C86" s="22"/>
      <c r="D86" s="23"/>
      <c r="E86" s="23"/>
      <c r="F86" s="23"/>
      <c r="G86" s="22"/>
      <c r="H86"/>
      <c r="I86" s="22"/>
    </row>
    <row r="87" spans="1:18" ht="15">
      <c r="A87" s="5"/>
      <c r="B87" s="24"/>
      <c r="C87" s="805" t="s">
        <v>967</v>
      </c>
      <c r="D87" s="806"/>
      <c r="E87" s="806"/>
      <c r="F87" s="806"/>
      <c r="G87" s="689" t="s">
        <v>976</v>
      </c>
      <c r="H87"/>
      <c r="I87" s="22"/>
    </row>
    <row r="88" spans="1:18" ht="58.5" customHeight="1">
      <c r="A88" s="5" t="s">
        <v>320</v>
      </c>
      <c r="B88" s="13" t="s">
        <v>268</v>
      </c>
      <c r="C88" s="14" t="s">
        <v>969</v>
      </c>
      <c r="D88" s="14" t="s">
        <v>970</v>
      </c>
      <c r="E88" s="14" t="s">
        <v>971</v>
      </c>
      <c r="F88" s="14" t="s">
        <v>327</v>
      </c>
      <c r="G88" s="14"/>
      <c r="H88"/>
      <c r="I88" s="607"/>
    </row>
    <row r="89" spans="1:18" s="16" customFormat="1" ht="15">
      <c r="A89" s="5"/>
      <c r="B89" s="13" t="s">
        <v>157</v>
      </c>
      <c r="C89" s="14" t="s">
        <v>158</v>
      </c>
      <c r="D89" s="14" t="s">
        <v>159</v>
      </c>
      <c r="E89" s="14" t="s">
        <v>160</v>
      </c>
      <c r="F89" s="14" t="s">
        <v>161</v>
      </c>
      <c r="G89" s="186" t="s">
        <v>162</v>
      </c>
      <c r="H89"/>
      <c r="I89" s="343"/>
    </row>
    <row r="90" spans="1:18" s="16" customFormat="1" ht="30.75" customHeight="1">
      <c r="A90" s="5"/>
      <c r="B90" s="17" t="s">
        <v>328</v>
      </c>
      <c r="C90" s="13" t="s">
        <v>972</v>
      </c>
      <c r="D90" s="13" t="s">
        <v>973</v>
      </c>
      <c r="E90" s="13" t="s">
        <v>974</v>
      </c>
      <c r="F90" s="13" t="s">
        <v>975</v>
      </c>
      <c r="G90" s="14"/>
      <c r="H90"/>
      <c r="I90" s="10"/>
      <c r="K90" s="763"/>
      <c r="L90" s="763"/>
      <c r="M90" s="763"/>
    </row>
    <row r="91" spans="1:18" ht="15">
      <c r="A91" s="5">
        <v>1</v>
      </c>
      <c r="B91" s="18" t="s">
        <v>332</v>
      </c>
      <c r="C91" s="19">
        <v>3031</v>
      </c>
      <c r="D91" s="19">
        <v>1010227</v>
      </c>
      <c r="E91" s="19">
        <v>5174385</v>
      </c>
      <c r="F91" s="604">
        <f>SUM(C91:E91)</f>
        <v>6187643</v>
      </c>
      <c r="G91" s="14"/>
      <c r="H91"/>
      <c r="I91" s="10"/>
      <c r="K91" s="421"/>
      <c r="L91" s="421"/>
      <c r="M91" s="421"/>
    </row>
    <row r="92" spans="1:18" ht="15">
      <c r="A92" s="5">
        <v>2</v>
      </c>
      <c r="B92" s="18" t="s">
        <v>165</v>
      </c>
      <c r="C92" s="19">
        <v>21619.52133291672</v>
      </c>
      <c r="D92" s="19">
        <v>1018394</v>
      </c>
      <c r="E92" s="19">
        <v>4942858.2409300739</v>
      </c>
      <c r="F92" s="604">
        <f t="shared" ref="F92:F103" si="6">SUM(C92:E92)</f>
        <v>5982871.7622629907</v>
      </c>
      <c r="G92" s="14"/>
      <c r="H92"/>
      <c r="I92" s="10"/>
      <c r="K92" s="421"/>
      <c r="L92" s="421"/>
      <c r="M92" s="421"/>
    </row>
    <row r="93" spans="1:18" ht="15">
      <c r="A93" s="5">
        <v>3</v>
      </c>
      <c r="B93" s="3" t="s">
        <v>166</v>
      </c>
      <c r="C93" s="19">
        <v>21644.365187978976</v>
      </c>
      <c r="D93" s="19">
        <v>1025353</v>
      </c>
      <c r="E93" s="19">
        <v>4948538.2766644433</v>
      </c>
      <c r="F93" s="604">
        <f t="shared" si="6"/>
        <v>5995535.6418524226</v>
      </c>
      <c r="G93" s="14"/>
      <c r="H93"/>
      <c r="I93" s="10"/>
      <c r="K93" s="421"/>
      <c r="L93" s="421"/>
      <c r="M93" s="421"/>
    </row>
    <row r="94" spans="1:18" ht="15">
      <c r="A94" s="5">
        <v>4</v>
      </c>
      <c r="B94" s="3" t="s">
        <v>333</v>
      </c>
      <c r="C94" s="19">
        <v>21424.435941628311</v>
      </c>
      <c r="D94" s="19">
        <v>1054678</v>
      </c>
      <c r="E94" s="19">
        <v>4898255.9845171701</v>
      </c>
      <c r="F94" s="604">
        <f t="shared" si="6"/>
        <v>5974358.4204587983</v>
      </c>
      <c r="G94" s="14"/>
      <c r="H94"/>
      <c r="I94" s="10"/>
      <c r="K94" s="421"/>
      <c r="L94" s="421"/>
      <c r="M94" s="421"/>
    </row>
    <row r="95" spans="1:18" ht="15">
      <c r="A95" s="5">
        <v>5</v>
      </c>
      <c r="B95" s="3" t="s">
        <v>167</v>
      </c>
      <c r="C95" s="19">
        <v>21437.021873926951</v>
      </c>
      <c r="D95" s="19">
        <v>1033537</v>
      </c>
      <c r="E95" s="19">
        <v>4901133.4986963309</v>
      </c>
      <c r="F95" s="604">
        <f t="shared" si="6"/>
        <v>5956107.5205702577</v>
      </c>
      <c r="G95" s="14"/>
      <c r="H95"/>
      <c r="I95" s="10"/>
      <c r="K95" s="421"/>
      <c r="L95" s="421"/>
      <c r="M95" s="421"/>
    </row>
    <row r="96" spans="1:18" ht="15">
      <c r="A96" s="5">
        <v>6</v>
      </c>
      <c r="B96" s="3" t="s">
        <v>168</v>
      </c>
      <c r="C96" s="19">
        <v>21321.177163737299</v>
      </c>
      <c r="D96" s="19">
        <v>1020653</v>
      </c>
      <c r="E96" s="19">
        <v>4874647.9918429824</v>
      </c>
      <c r="F96" s="604">
        <f t="shared" si="6"/>
        <v>5916622.1690067193</v>
      </c>
      <c r="G96" s="14"/>
      <c r="H96"/>
      <c r="I96" s="10"/>
      <c r="K96" s="421"/>
      <c r="L96" s="421"/>
      <c r="M96" s="421"/>
    </row>
    <row r="97" spans="1:18" ht="15">
      <c r="A97" s="5">
        <v>7</v>
      </c>
      <c r="B97" s="3" t="s">
        <v>169</v>
      </c>
      <c r="C97" s="19">
        <v>22658.889504732735</v>
      </c>
      <c r="D97" s="19">
        <v>1031310</v>
      </c>
      <c r="E97" s="19">
        <v>5180488.3648495711</v>
      </c>
      <c r="F97" s="604">
        <f t="shared" si="6"/>
        <v>6234457.2543543037</v>
      </c>
      <c r="G97" s="14"/>
      <c r="H97"/>
      <c r="I97" s="10"/>
      <c r="K97" s="421"/>
      <c r="L97" s="421"/>
      <c r="M97" s="421"/>
    </row>
    <row r="98" spans="1:18" ht="15">
      <c r="A98" s="5">
        <v>8</v>
      </c>
      <c r="B98" s="3" t="s">
        <v>170</v>
      </c>
      <c r="C98" s="19">
        <v>23806.587986481369</v>
      </c>
      <c r="D98" s="19">
        <v>959931</v>
      </c>
      <c r="E98" s="19">
        <v>5442885.9827828091</v>
      </c>
      <c r="F98" s="604">
        <f t="shared" si="6"/>
        <v>6426623.5707692904</v>
      </c>
      <c r="G98" s="14"/>
      <c r="H98"/>
      <c r="I98" s="10"/>
      <c r="K98" s="421"/>
      <c r="L98" s="421"/>
      <c r="M98" s="421"/>
    </row>
    <row r="99" spans="1:18" ht="15">
      <c r="A99" s="5">
        <v>9</v>
      </c>
      <c r="B99" s="3" t="s">
        <v>334</v>
      </c>
      <c r="C99" s="19">
        <v>24407.668900082037</v>
      </c>
      <c r="D99" s="19">
        <v>875267</v>
      </c>
      <c r="E99" s="19">
        <v>5580310.7528092051</v>
      </c>
      <c r="F99" s="604">
        <f t="shared" si="6"/>
        <v>6479985.421709287</v>
      </c>
      <c r="G99" s="14"/>
      <c r="H99"/>
      <c r="I99" s="10"/>
      <c r="K99" s="421"/>
      <c r="L99" s="421"/>
      <c r="M99" s="421"/>
    </row>
    <row r="100" spans="1:18" ht="15">
      <c r="A100" s="5">
        <v>10</v>
      </c>
      <c r="B100" s="3" t="s">
        <v>171</v>
      </c>
      <c r="C100" s="19">
        <v>24910.335484309049</v>
      </c>
      <c r="D100" s="19">
        <v>924010</v>
      </c>
      <c r="E100" s="19">
        <v>5695235.1135305371</v>
      </c>
      <c r="F100" s="604">
        <f t="shared" si="6"/>
        <v>6644155.4490148462</v>
      </c>
      <c r="G100" s="14"/>
      <c r="H100"/>
      <c r="I100" s="10"/>
      <c r="K100" s="421"/>
      <c r="L100" s="421"/>
      <c r="M100" s="421"/>
    </row>
    <row r="101" spans="1:18" ht="15">
      <c r="A101" s="5">
        <v>11</v>
      </c>
      <c r="B101" s="3" t="s">
        <v>172</v>
      </c>
      <c r="C101" s="19">
        <v>24702.265044224827</v>
      </c>
      <c r="D101" s="19">
        <v>1011920</v>
      </c>
      <c r="E101" s="19">
        <v>5647664.0931722671</v>
      </c>
      <c r="F101" s="604">
        <f t="shared" si="6"/>
        <v>6684286.3582164915</v>
      </c>
      <c r="G101" s="14"/>
      <c r="H101"/>
      <c r="I101" s="10"/>
      <c r="K101" s="421"/>
      <c r="L101" s="421"/>
      <c r="M101" s="421"/>
    </row>
    <row r="102" spans="1:18" ht="15">
      <c r="A102" s="5">
        <v>12</v>
      </c>
      <c r="B102" s="3" t="s">
        <v>173</v>
      </c>
      <c r="C102" s="19">
        <v>24816.873410782446</v>
      </c>
      <c r="D102" s="19">
        <v>1022390</v>
      </c>
      <c r="E102" s="737">
        <v>5673866.9355199533</v>
      </c>
      <c r="F102" s="604">
        <f t="shared" si="6"/>
        <v>6721073.808930736</v>
      </c>
      <c r="G102" s="14"/>
      <c r="H102"/>
      <c r="I102" s="10"/>
      <c r="K102" s="421"/>
      <c r="L102" s="421"/>
      <c r="M102" s="421"/>
    </row>
    <row r="103" spans="1:18" ht="15">
      <c r="A103" s="5">
        <v>13</v>
      </c>
      <c r="B103" s="3" t="s">
        <v>335</v>
      </c>
      <c r="C103" s="19">
        <v>24930</v>
      </c>
      <c r="D103" s="19">
        <v>1022036</v>
      </c>
      <c r="E103" s="19">
        <v>5699731</v>
      </c>
      <c r="F103" s="604">
        <f t="shared" si="6"/>
        <v>6746697</v>
      </c>
      <c r="G103" s="14"/>
      <c r="H103"/>
      <c r="I103" s="10"/>
      <c r="K103" s="421"/>
      <c r="L103" s="421"/>
      <c r="M103" s="421"/>
    </row>
    <row r="104" spans="1:18" ht="15">
      <c r="A104" s="5">
        <v>14</v>
      </c>
      <c r="B104" s="17" t="s">
        <v>345</v>
      </c>
      <c r="C104" s="603">
        <f>SUM(C91:C103)/13</f>
        <v>21593.087833138517</v>
      </c>
      <c r="D104" s="603">
        <f t="shared" ref="D104:E104" si="7">SUM(D91:D103)/13</f>
        <v>1000746.6153846154</v>
      </c>
      <c r="E104" s="603">
        <f t="shared" si="7"/>
        <v>5281538.5565627199</v>
      </c>
      <c r="F104" s="603">
        <f>SUM(F91:F103)/13</f>
        <v>6303878.2597804721</v>
      </c>
      <c r="G104" s="14"/>
      <c r="H104"/>
      <c r="I104"/>
      <c r="K104" s="763"/>
      <c r="L104" s="763"/>
      <c r="M104" s="763"/>
    </row>
    <row r="105" spans="1:18" ht="15">
      <c r="A105" s="5">
        <v>15</v>
      </c>
      <c r="B105" s="17" t="s">
        <v>10</v>
      </c>
      <c r="C105" s="601" t="s">
        <v>11</v>
      </c>
      <c r="D105" s="601" t="s">
        <v>100</v>
      </c>
      <c r="E105" s="601" t="s">
        <v>27</v>
      </c>
      <c r="F105" s="600"/>
      <c r="G105" s="14"/>
      <c r="H105"/>
      <c r="I105" s="10"/>
    </row>
    <row r="106" spans="1:18" ht="15">
      <c r="A106" s="5">
        <v>16</v>
      </c>
      <c r="B106" s="17" t="s">
        <v>1105</v>
      </c>
      <c r="C106" s="602">
        <f>'Act Att-H'!I174</f>
        <v>0.94026910793059781</v>
      </c>
      <c r="D106" s="602">
        <f>'Act Att-H'!I191</f>
        <v>8.3563690936576104E-2</v>
      </c>
      <c r="E106" s="602">
        <v>0</v>
      </c>
      <c r="F106" s="600"/>
      <c r="G106" s="14"/>
      <c r="H106"/>
      <c r="I106" s="10"/>
    </row>
    <row r="107" spans="1:18" ht="15.6" thickBot="1">
      <c r="A107" s="5">
        <v>17</v>
      </c>
      <c r="B107" s="17" t="s">
        <v>968</v>
      </c>
      <c r="C107" s="21">
        <f>C106*C104</f>
        <v>20303.313434332198</v>
      </c>
      <c r="D107" s="21">
        <f t="shared" ref="D107:E107" si="8">D106*D104</f>
        <v>83626.080873824598</v>
      </c>
      <c r="E107" s="21">
        <f t="shared" si="8"/>
        <v>0</v>
      </c>
      <c r="F107" s="21">
        <f>C107+D107+E107</f>
        <v>103929.3943081568</v>
      </c>
      <c r="G107" s="14"/>
      <c r="H107"/>
      <c r="I107" s="10"/>
    </row>
    <row r="108" spans="1:18" s="16" customFormat="1" ht="15.6" thickTop="1">
      <c r="A108" s="5">
        <v>18</v>
      </c>
      <c r="B108" s="27"/>
      <c r="C108" s="28"/>
      <c r="D108" s="28"/>
      <c r="E108" s="28"/>
      <c r="F108" s="28"/>
      <c r="G108" s="46"/>
      <c r="H108"/>
      <c r="I108" s="2"/>
      <c r="J108" s="2"/>
      <c r="K108" s="2"/>
      <c r="L108" s="2"/>
      <c r="M108" s="2"/>
      <c r="N108" s="2"/>
      <c r="O108" s="2"/>
      <c r="P108" s="2"/>
      <c r="Q108" s="2"/>
      <c r="R108" s="2"/>
    </row>
    <row r="109" spans="1:18" s="16" customFormat="1" ht="15">
      <c r="A109" s="5">
        <v>19</v>
      </c>
      <c r="B109" s="660" t="s">
        <v>1183</v>
      </c>
      <c r="C109" s="660"/>
      <c r="D109" s="660"/>
      <c r="E109" s="28"/>
      <c r="F109" s="28"/>
      <c r="G109" s="34">
        <v>-415607.81012658222</v>
      </c>
      <c r="H109"/>
      <c r="I109" s="2"/>
      <c r="J109" s="2"/>
      <c r="K109" s="421"/>
      <c r="L109" s="2"/>
      <c r="M109" s="2"/>
      <c r="N109" s="2"/>
      <c r="O109" s="2"/>
      <c r="P109" s="2"/>
      <c r="Q109" s="2"/>
      <c r="R109" s="2"/>
    </row>
    <row r="110" spans="1:18" s="16" customFormat="1" ht="15">
      <c r="A110" s="5">
        <v>20</v>
      </c>
      <c r="B110" s="660" t="s">
        <v>1184</v>
      </c>
      <c r="C110" s="660"/>
      <c r="D110" s="660"/>
      <c r="E110" s="28"/>
      <c r="F110" s="28"/>
      <c r="G110" s="40">
        <v>1979084.8101265822</v>
      </c>
      <c r="H110"/>
      <c r="I110" s="2"/>
      <c r="J110" s="2"/>
      <c r="K110" s="421"/>
      <c r="L110" s="2"/>
      <c r="M110" s="2"/>
      <c r="N110" s="2"/>
      <c r="O110" s="2"/>
      <c r="P110" s="2"/>
      <c r="Q110" s="2"/>
      <c r="R110" s="2"/>
    </row>
    <row r="111" spans="1:18" s="16" customFormat="1" ht="15">
      <c r="A111" s="5">
        <v>21</v>
      </c>
      <c r="B111" s="660" t="s">
        <v>1107</v>
      </c>
      <c r="C111" s="28"/>
      <c r="D111" s="28"/>
      <c r="E111" s="110" t="s">
        <v>1137</v>
      </c>
      <c r="F111" s="28"/>
      <c r="G111" s="738">
        <f>SUM(G109:G110)</f>
        <v>1563477</v>
      </c>
      <c r="H111"/>
      <c r="I111" s="2"/>
      <c r="J111" s="2"/>
      <c r="K111" s="2"/>
      <c r="L111" s="2"/>
      <c r="M111" s="2"/>
      <c r="N111" s="2"/>
      <c r="O111" s="2"/>
      <c r="P111" s="2"/>
      <c r="Q111" s="2"/>
      <c r="R111" s="2"/>
    </row>
    <row r="112" spans="1:18" s="16" customFormat="1" ht="15">
      <c r="A112" s="5">
        <v>22</v>
      </c>
      <c r="B112" s="660" t="s">
        <v>1006</v>
      </c>
      <c r="C112" s="658" t="s">
        <v>982</v>
      </c>
      <c r="D112" s="28"/>
      <c r="E112" s="28"/>
      <c r="F112" s="28"/>
      <c r="G112" s="659">
        <v>7.9579999999999998E-2</v>
      </c>
      <c r="H112"/>
      <c r="I112" s="2"/>
      <c r="J112" s="2"/>
      <c r="K112" s="2"/>
      <c r="L112" s="2"/>
      <c r="M112" s="2"/>
      <c r="N112" s="2"/>
      <c r="O112" s="2"/>
      <c r="P112" s="2"/>
      <c r="Q112" s="2"/>
      <c r="R112" s="2"/>
    </row>
    <row r="113" spans="1:18" s="16" customFormat="1" ht="15">
      <c r="A113" s="5">
        <v>23</v>
      </c>
      <c r="B113" s="725" t="s">
        <v>1106</v>
      </c>
      <c r="C113" s="661"/>
      <c r="D113" s="662"/>
      <c r="E113" s="662"/>
      <c r="F113" s="662"/>
      <c r="G113" s="663">
        <f>G111*G112</f>
        <v>124421.49966</v>
      </c>
      <c r="H113"/>
      <c r="I113" s="2"/>
      <c r="J113" s="2"/>
      <c r="K113" s="2"/>
      <c r="L113" s="2"/>
      <c r="M113" s="2"/>
      <c r="N113" s="2"/>
      <c r="O113" s="2"/>
      <c r="P113" s="2"/>
      <c r="Q113" s="2"/>
      <c r="R113" s="2"/>
    </row>
    <row r="114" spans="1:18" s="16" customFormat="1" ht="15">
      <c r="A114" s="5"/>
      <c r="B114" s="27"/>
      <c r="C114" s="28"/>
      <c r="D114" s="28"/>
      <c r="E114" s="28"/>
      <c r="F114" s="28"/>
      <c r="H114"/>
      <c r="I114" s="2"/>
      <c r="J114" s="2"/>
      <c r="K114" s="2"/>
      <c r="L114" s="2"/>
      <c r="M114" s="2"/>
      <c r="N114" s="2"/>
      <c r="O114" s="2"/>
      <c r="P114" s="2"/>
      <c r="Q114" s="2"/>
      <c r="R114" s="2"/>
    </row>
    <row r="115" spans="1:18">
      <c r="A115" s="187" t="s">
        <v>205</v>
      </c>
    </row>
    <row r="116" spans="1:18" ht="15" customHeight="1">
      <c r="A116" s="49" t="s">
        <v>79</v>
      </c>
      <c r="B116" s="773" t="s">
        <v>356</v>
      </c>
      <c r="C116" s="773"/>
      <c r="D116" s="773"/>
      <c r="E116" s="773"/>
      <c r="F116" s="773"/>
      <c r="G116" s="773"/>
      <c r="H116" s="773"/>
      <c r="I116" s="773"/>
      <c r="J116" s="306"/>
      <c r="K116" s="306"/>
      <c r="L116" s="306"/>
      <c r="M116" s="306"/>
      <c r="N116" s="306"/>
      <c r="O116" s="306"/>
      <c r="P116" s="306"/>
      <c r="Q116" s="306"/>
      <c r="R116" s="306"/>
    </row>
    <row r="117" spans="1:18" ht="15" customHeight="1">
      <c r="A117" s="49" t="s">
        <v>80</v>
      </c>
      <c r="B117" s="773" t="s">
        <v>357</v>
      </c>
      <c r="C117" s="773"/>
      <c r="D117" s="773"/>
      <c r="E117" s="773"/>
      <c r="F117" s="773"/>
      <c r="G117" s="773"/>
      <c r="H117" s="773"/>
      <c r="I117" s="773"/>
      <c r="J117" s="306"/>
      <c r="K117" s="306"/>
      <c r="L117" s="306"/>
      <c r="M117" s="306"/>
      <c r="N117" s="306"/>
      <c r="O117" s="306"/>
      <c r="P117" s="306"/>
      <c r="Q117" s="306"/>
      <c r="R117" s="306"/>
    </row>
    <row r="118" spans="1:18" ht="58.5" customHeight="1">
      <c r="A118" s="49" t="s">
        <v>81</v>
      </c>
      <c r="B118" s="773" t="s">
        <v>939</v>
      </c>
      <c r="C118" s="773"/>
      <c r="D118" s="773"/>
      <c r="E118" s="773"/>
      <c r="F118" s="773"/>
      <c r="G118" s="773"/>
      <c r="H118" s="773"/>
      <c r="I118" s="773"/>
      <c r="J118" s="47"/>
      <c r="K118" s="47"/>
      <c r="L118" s="47"/>
      <c r="M118" s="47"/>
      <c r="N118" s="47"/>
      <c r="O118" s="47"/>
      <c r="P118" s="47"/>
      <c r="Q118" s="47"/>
      <c r="R118" s="47"/>
    </row>
    <row r="119" spans="1:18">
      <c r="A119" s="49" t="s">
        <v>82</v>
      </c>
      <c r="B119" s="773" t="s">
        <v>1131</v>
      </c>
      <c r="C119" s="773"/>
      <c r="D119" s="773"/>
      <c r="E119" s="773"/>
      <c r="F119" s="773"/>
      <c r="G119" s="773"/>
      <c r="H119" s="773"/>
      <c r="I119" s="773"/>
    </row>
    <row r="120" spans="1:18" ht="18.75" customHeight="1">
      <c r="A120" s="49" t="s">
        <v>83</v>
      </c>
      <c r="B120" s="809" t="s">
        <v>938</v>
      </c>
      <c r="C120" s="809"/>
      <c r="D120" s="809"/>
      <c r="E120" s="809"/>
      <c r="F120" s="809"/>
      <c r="G120" s="809"/>
      <c r="H120" s="809"/>
      <c r="I120" s="809"/>
      <c r="J120" s="307"/>
      <c r="K120" s="307"/>
      <c r="L120" s="307"/>
      <c r="M120" s="307"/>
      <c r="N120" s="307"/>
      <c r="O120" s="307"/>
      <c r="P120" s="307"/>
      <c r="Q120" s="307"/>
      <c r="R120" s="307"/>
    </row>
    <row r="121" spans="1:18" ht="15" customHeight="1">
      <c r="A121" s="49" t="s">
        <v>84</v>
      </c>
      <c r="B121" s="808" t="s">
        <v>358</v>
      </c>
      <c r="C121" s="808"/>
      <c r="D121" s="808"/>
      <c r="E121" s="808"/>
      <c r="F121" s="808"/>
      <c r="G121" s="808"/>
      <c r="H121" s="808"/>
      <c r="I121" s="808"/>
      <c r="J121" s="307"/>
      <c r="K121" s="307"/>
      <c r="L121" s="307"/>
      <c r="M121" s="307"/>
      <c r="N121" s="307"/>
      <c r="O121" s="307"/>
      <c r="P121" s="307"/>
      <c r="Q121" s="307"/>
      <c r="R121" s="307"/>
    </row>
    <row r="122" spans="1:18" ht="94.2" customHeight="1">
      <c r="A122" s="49" t="s">
        <v>85</v>
      </c>
      <c r="B122" s="809" t="s">
        <v>747</v>
      </c>
      <c r="C122" s="809"/>
      <c r="D122" s="809"/>
      <c r="E122" s="809"/>
      <c r="F122" s="809"/>
      <c r="G122" s="809"/>
      <c r="H122" s="809"/>
      <c r="I122" s="809"/>
      <c r="J122" s="307"/>
      <c r="K122" s="307"/>
      <c r="L122" s="307"/>
      <c r="M122" s="307"/>
      <c r="N122" s="307"/>
      <c r="O122" s="307"/>
      <c r="P122" s="307"/>
      <c r="Q122" s="307"/>
      <c r="R122" s="307"/>
    </row>
    <row r="123" spans="1:18" ht="36" customHeight="1">
      <c r="A123" s="49" t="s">
        <v>449</v>
      </c>
      <c r="B123" s="773" t="s">
        <v>1100</v>
      </c>
      <c r="C123" s="773"/>
      <c r="D123" s="773"/>
      <c r="E123" s="773"/>
      <c r="F123" s="773"/>
      <c r="G123" s="773"/>
      <c r="H123" s="773"/>
      <c r="I123" s="773"/>
      <c r="J123" s="50"/>
      <c r="K123" s="50"/>
      <c r="L123" s="50"/>
      <c r="M123" s="50"/>
      <c r="N123" s="50"/>
      <c r="O123" s="50"/>
      <c r="P123" s="50"/>
      <c r="Q123" s="50"/>
      <c r="R123" s="50"/>
    </row>
    <row r="124" spans="1:18" ht="32.25" customHeight="1">
      <c r="A124" s="49" t="s">
        <v>86</v>
      </c>
      <c r="B124" s="773" t="s">
        <v>1175</v>
      </c>
      <c r="C124" s="773"/>
      <c r="D124" s="773"/>
      <c r="E124" s="773"/>
      <c r="F124" s="773"/>
      <c r="G124" s="773"/>
      <c r="H124" s="773"/>
      <c r="I124" s="773"/>
      <c r="J124" s="50"/>
      <c r="K124" s="50"/>
      <c r="L124" s="50"/>
      <c r="M124" s="50"/>
      <c r="N124" s="50"/>
      <c r="O124" s="50"/>
      <c r="P124" s="50"/>
      <c r="Q124" s="50"/>
      <c r="R124" s="50"/>
    </row>
    <row r="125" spans="1:18" ht="27" customHeight="1">
      <c r="A125" s="49" t="s">
        <v>87</v>
      </c>
      <c r="B125" s="773" t="s">
        <v>1117</v>
      </c>
      <c r="C125" s="773"/>
      <c r="D125" s="773"/>
      <c r="E125" s="773"/>
      <c r="F125" s="773"/>
      <c r="G125" s="773"/>
      <c r="H125" s="773"/>
      <c r="I125" s="773"/>
      <c r="J125" s="50"/>
      <c r="K125" s="50"/>
      <c r="L125" s="50"/>
      <c r="M125" s="50"/>
      <c r="N125" s="50"/>
      <c r="O125" s="50"/>
      <c r="P125" s="50"/>
      <c r="Q125" s="50"/>
      <c r="R125" s="50"/>
    </row>
    <row r="126" spans="1:18">
      <c r="A126" s="49" t="s">
        <v>88</v>
      </c>
      <c r="B126" s="773" t="s">
        <v>1182</v>
      </c>
      <c r="C126" s="773"/>
      <c r="D126" s="773"/>
      <c r="E126" s="773"/>
      <c r="F126" s="773"/>
      <c r="G126" s="773"/>
      <c r="H126" s="773"/>
      <c r="I126" s="773"/>
    </row>
    <row r="127" spans="1:18">
      <c r="A127" s="49" t="s">
        <v>452</v>
      </c>
      <c r="B127" s="773" t="s">
        <v>1171</v>
      </c>
      <c r="C127" s="773"/>
      <c r="D127" s="773"/>
      <c r="E127" s="773"/>
      <c r="F127" s="773"/>
      <c r="G127" s="773"/>
      <c r="H127" s="773"/>
      <c r="I127" s="773"/>
    </row>
  </sheetData>
  <mergeCells count="17">
    <mergeCell ref="B122:I122"/>
    <mergeCell ref="J1:R1"/>
    <mergeCell ref="B127:I127"/>
    <mergeCell ref="C5:G5"/>
    <mergeCell ref="E28:I28"/>
    <mergeCell ref="C53:I53"/>
    <mergeCell ref="B116:I116"/>
    <mergeCell ref="B117:I117"/>
    <mergeCell ref="B121:I121"/>
    <mergeCell ref="B118:I118"/>
    <mergeCell ref="B119:I119"/>
    <mergeCell ref="B120:I120"/>
    <mergeCell ref="C87:F87"/>
    <mergeCell ref="B126:I126"/>
    <mergeCell ref="B125:I125"/>
    <mergeCell ref="B124:I124"/>
    <mergeCell ref="B123:I123"/>
  </mergeCells>
  <pageMargins left="0.5" right="0.25" top="1" bottom="1" header="0.5" footer="0.5"/>
  <pageSetup scale="60" fitToHeight="4" orientation="portrait" r:id="rId1"/>
  <headerFooter alignWithMargins="0"/>
  <rowBreaks count="1" manualBreakCount="1">
    <brk id="82" max="16383" man="1"/>
  </rowBreaks>
  <cellWatches>
    <cellWatch r="G113"/>
  </cellWatches>
  <ignoredErrors>
    <ignoredError sqref="I46" formulaRange="1"/>
    <ignoredError sqref="E49 E83:E8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pageSetUpPr fitToPage="1"/>
  </sheetPr>
  <dimension ref="A1:H88"/>
  <sheetViews>
    <sheetView zoomScaleNormal="100" workbookViewId="0">
      <selection activeCell="A76" sqref="A76"/>
    </sheetView>
  </sheetViews>
  <sheetFormatPr defaultColWidth="7.08984375" defaultRowHeight="13.2"/>
  <cols>
    <col min="1" max="1" width="2.08984375" style="204" customWidth="1"/>
    <col min="2" max="2" width="3.54296875" style="204" customWidth="1"/>
    <col min="3" max="4" width="1.81640625" style="204" customWidth="1"/>
    <col min="5" max="5" width="6.453125" style="204" customWidth="1"/>
    <col min="6" max="6" width="52.54296875" style="204" customWidth="1"/>
    <col min="7" max="7" width="1.81640625" style="204" customWidth="1"/>
    <col min="8" max="8" width="8.1796875" style="308" customWidth="1"/>
    <col min="9" max="9" width="8.1796875" style="204" customWidth="1"/>
    <col min="10"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8" ht="14.25" customHeight="1">
      <c r="A1" s="798" t="s">
        <v>535</v>
      </c>
      <c r="B1" s="798"/>
      <c r="C1" s="798"/>
      <c r="D1" s="798"/>
      <c r="E1" s="798"/>
      <c r="F1" s="798"/>
      <c r="G1" s="798"/>
      <c r="H1" s="798"/>
    </row>
    <row r="2" spans="1:8">
      <c r="A2" s="798" t="s">
        <v>151</v>
      </c>
      <c r="B2" s="798"/>
      <c r="C2" s="798"/>
      <c r="D2" s="798"/>
      <c r="E2" s="798"/>
      <c r="F2" s="798"/>
      <c r="G2" s="798"/>
      <c r="H2" s="798"/>
    </row>
    <row r="3" spans="1:8">
      <c r="A3" s="799" t="str">
        <f>'Act Att-H'!C7</f>
        <v>Cheyenne Light, Fuel &amp; Power</v>
      </c>
      <c r="B3" s="799"/>
      <c r="C3" s="799"/>
      <c r="D3" s="799"/>
      <c r="E3" s="799"/>
      <c r="F3" s="799"/>
      <c r="G3" s="799"/>
      <c r="H3" s="799"/>
    </row>
    <row r="4" spans="1:8">
      <c r="F4" s="2"/>
      <c r="H4" s="308" t="s">
        <v>673</v>
      </c>
    </row>
    <row r="5" spans="1:8">
      <c r="A5" s="798"/>
      <c r="B5" s="798"/>
      <c r="C5" s="798"/>
      <c r="D5" s="798"/>
      <c r="E5" s="798"/>
      <c r="F5" s="798"/>
      <c r="G5" s="798"/>
      <c r="H5" s="798"/>
    </row>
    <row r="6" spans="1:8">
      <c r="B6" s="206" t="s">
        <v>4</v>
      </c>
      <c r="H6" s="204"/>
    </row>
    <row r="7" spans="1:8">
      <c r="B7" s="209" t="s">
        <v>6</v>
      </c>
      <c r="D7" s="225" t="s">
        <v>140</v>
      </c>
      <c r="E7" s="225"/>
      <c r="F7" s="225"/>
      <c r="H7" s="726" t="s">
        <v>152</v>
      </c>
    </row>
    <row r="8" spans="1:8">
      <c r="B8" s="206">
        <v>1</v>
      </c>
    </row>
    <row r="9" spans="1:8">
      <c r="B9" s="206">
        <v>2</v>
      </c>
      <c r="D9" s="216" t="s">
        <v>1077</v>
      </c>
      <c r="E9" s="216"/>
    </row>
    <row r="10" spans="1:8">
      <c r="B10" s="206">
        <v>3</v>
      </c>
      <c r="E10" s="727">
        <v>350.03</v>
      </c>
      <c r="F10" s="227" t="s">
        <v>677</v>
      </c>
      <c r="H10" s="309">
        <v>1.0800000000000001E-2</v>
      </c>
    </row>
    <row r="11" spans="1:8">
      <c r="B11" s="206">
        <v>4</v>
      </c>
      <c r="E11" s="727">
        <v>352</v>
      </c>
      <c r="F11" s="204" t="s">
        <v>678</v>
      </c>
      <c r="H11" s="309">
        <v>1.04E-2</v>
      </c>
    </row>
    <row r="12" spans="1:8">
      <c r="B12" s="206">
        <v>5</v>
      </c>
      <c r="E12" s="727">
        <v>352.05</v>
      </c>
      <c r="F12" s="204" t="s">
        <v>679</v>
      </c>
      <c r="H12" s="309">
        <v>1.83E-2</v>
      </c>
    </row>
    <row r="13" spans="1:8">
      <c r="B13" s="206">
        <v>6</v>
      </c>
      <c r="E13" s="727">
        <v>353</v>
      </c>
      <c r="F13" s="204" t="s">
        <v>680</v>
      </c>
      <c r="H13" s="309">
        <v>2.1100000000000001E-2</v>
      </c>
    </row>
    <row r="14" spans="1:8">
      <c r="B14" s="206">
        <v>7</v>
      </c>
      <c r="E14" s="727">
        <v>354</v>
      </c>
      <c r="F14" s="204" t="s">
        <v>681</v>
      </c>
      <c r="H14" s="309">
        <v>1.2200000000000001E-2</v>
      </c>
    </row>
    <row r="15" spans="1:8">
      <c r="B15" s="206">
        <v>8</v>
      </c>
      <c r="E15" s="727">
        <v>355</v>
      </c>
      <c r="F15" s="227" t="s">
        <v>682</v>
      </c>
      <c r="H15" s="309">
        <v>2.7699999999999999E-2</v>
      </c>
    </row>
    <row r="16" spans="1:8">
      <c r="B16" s="206">
        <v>9</v>
      </c>
      <c r="E16" s="727">
        <v>356</v>
      </c>
      <c r="F16" s="204" t="s">
        <v>683</v>
      </c>
      <c r="H16" s="309">
        <v>1.95E-2</v>
      </c>
    </row>
    <row r="17" spans="2:8">
      <c r="B17" s="206">
        <v>10</v>
      </c>
      <c r="F17" s="311" t="s">
        <v>684</v>
      </c>
      <c r="H17" s="312">
        <v>0.02</v>
      </c>
    </row>
    <row r="18" spans="2:8">
      <c r="B18" s="206">
        <v>11</v>
      </c>
      <c r="H18" s="692"/>
    </row>
    <row r="19" spans="2:8">
      <c r="B19" s="206">
        <v>12</v>
      </c>
      <c r="D19" s="216" t="s">
        <v>1190</v>
      </c>
      <c r="H19" s="310"/>
    </row>
    <row r="20" spans="2:8">
      <c r="B20" s="206">
        <v>13</v>
      </c>
      <c r="E20" s="727">
        <v>390.01</v>
      </c>
      <c r="F20" s="227" t="s">
        <v>1141</v>
      </c>
      <c r="H20" s="309">
        <v>2.12E-2</v>
      </c>
    </row>
    <row r="21" spans="2:8">
      <c r="B21" s="206">
        <v>14</v>
      </c>
      <c r="E21" s="727">
        <v>391.01</v>
      </c>
      <c r="F21" s="204" t="s">
        <v>1142</v>
      </c>
      <c r="H21" s="309">
        <v>5.0999999999999997E-2</v>
      </c>
    </row>
    <row r="22" spans="2:8">
      <c r="B22" s="206">
        <v>15</v>
      </c>
      <c r="E22" s="727">
        <v>391.03</v>
      </c>
      <c r="F22" s="204" t="s">
        <v>1143</v>
      </c>
      <c r="H22" s="309">
        <v>0.18629999999999999</v>
      </c>
    </row>
    <row r="23" spans="2:8">
      <c r="B23" s="206">
        <v>16</v>
      </c>
      <c r="E23" s="727">
        <v>391.04</v>
      </c>
      <c r="F23" s="204" t="s">
        <v>1144</v>
      </c>
      <c r="H23" s="309">
        <v>0.13320000000000001</v>
      </c>
    </row>
    <row r="24" spans="2:8">
      <c r="B24" s="206">
        <v>17</v>
      </c>
      <c r="E24" s="728">
        <v>392</v>
      </c>
      <c r="F24" s="204" t="s">
        <v>1145</v>
      </c>
      <c r="H24" s="309">
        <v>6.08E-2</v>
      </c>
    </row>
    <row r="25" spans="2:8">
      <c r="B25" s="206">
        <v>18</v>
      </c>
      <c r="E25" s="727">
        <v>393</v>
      </c>
      <c r="F25" s="204" t="s">
        <v>1146</v>
      </c>
      <c r="H25" s="309">
        <v>5.0200000000000002E-2</v>
      </c>
    </row>
    <row r="26" spans="2:8">
      <c r="B26" s="206">
        <v>19</v>
      </c>
      <c r="E26" s="727">
        <v>394</v>
      </c>
      <c r="F26" s="204" t="s">
        <v>1147</v>
      </c>
      <c r="H26" s="309">
        <v>3.5099999999999999E-2</v>
      </c>
    </row>
    <row r="27" spans="2:8">
      <c r="B27" s="206">
        <v>20</v>
      </c>
      <c r="E27" s="727">
        <v>395</v>
      </c>
      <c r="F27" s="204" t="s">
        <v>1148</v>
      </c>
      <c r="H27" s="309">
        <v>2.7E-2</v>
      </c>
    </row>
    <row r="28" spans="2:8">
      <c r="B28" s="206">
        <v>21</v>
      </c>
      <c r="E28" s="727">
        <v>396</v>
      </c>
      <c r="F28" s="204" t="s">
        <v>1161</v>
      </c>
      <c r="H28" s="309">
        <v>5.5300000000000002E-2</v>
      </c>
    </row>
    <row r="29" spans="2:8">
      <c r="B29" s="206">
        <v>22</v>
      </c>
      <c r="E29" s="727">
        <v>397</v>
      </c>
      <c r="F29" s="204" t="s">
        <v>1162</v>
      </c>
      <c r="H29" s="309">
        <v>6.9599999999999995E-2</v>
      </c>
    </row>
    <row r="30" spans="2:8">
      <c r="B30" s="206">
        <v>23</v>
      </c>
      <c r="F30" s="311" t="s">
        <v>1149</v>
      </c>
      <c r="H30" s="729">
        <v>7.2599999999999998E-2</v>
      </c>
    </row>
    <row r="31" spans="2:8">
      <c r="B31" s="206">
        <v>24</v>
      </c>
      <c r="H31" s="692"/>
    </row>
    <row r="32" spans="2:8">
      <c r="B32" s="206">
        <v>25</v>
      </c>
      <c r="D32" s="216" t="s">
        <v>1191</v>
      </c>
      <c r="H32" s="310"/>
    </row>
    <row r="33" spans="2:8">
      <c r="B33" s="206">
        <v>26</v>
      </c>
      <c r="E33" s="727">
        <v>390.01</v>
      </c>
      <c r="F33" s="227" t="s">
        <v>1141</v>
      </c>
      <c r="H33" s="309">
        <v>1.12E-2</v>
      </c>
    </row>
    <row r="34" spans="2:8">
      <c r="B34" s="206">
        <v>27</v>
      </c>
      <c r="E34" s="727">
        <v>390.05</v>
      </c>
      <c r="F34" s="227" t="s">
        <v>1192</v>
      </c>
      <c r="H34" s="309">
        <v>1.38E-2</v>
      </c>
    </row>
    <row r="35" spans="2:8">
      <c r="B35" s="206">
        <v>28</v>
      </c>
      <c r="E35" s="727">
        <v>391.01</v>
      </c>
      <c r="F35" s="204" t="s">
        <v>1142</v>
      </c>
      <c r="H35" s="309">
        <v>3.4599999999999999E-2</v>
      </c>
    </row>
    <row r="36" spans="2:8">
      <c r="B36" s="206">
        <v>29</v>
      </c>
      <c r="E36" s="727">
        <v>391.03</v>
      </c>
      <c r="F36" s="204" t="s">
        <v>1143</v>
      </c>
      <c r="H36" s="309">
        <v>0.16400000000000001</v>
      </c>
    </row>
    <row r="37" spans="2:8">
      <c r="B37" s="206">
        <v>30</v>
      </c>
      <c r="E37" s="727">
        <v>391.04</v>
      </c>
      <c r="F37" s="204" t="s">
        <v>1144</v>
      </c>
      <c r="H37" s="309">
        <v>0</v>
      </c>
    </row>
    <row r="38" spans="2:8">
      <c r="B38" s="206">
        <v>31</v>
      </c>
      <c r="E38" s="727">
        <v>391.05</v>
      </c>
      <c r="F38" s="204" t="s">
        <v>1193</v>
      </c>
      <c r="H38" s="309">
        <v>0.1464</v>
      </c>
    </row>
    <row r="39" spans="2:8">
      <c r="B39" s="206">
        <v>32</v>
      </c>
      <c r="E39" s="728">
        <v>392</v>
      </c>
      <c r="F39" s="204" t="s">
        <v>1145</v>
      </c>
      <c r="H39" s="309">
        <v>7.8899999999999998E-2</v>
      </c>
    </row>
    <row r="40" spans="2:8">
      <c r="B40" s="206">
        <v>33</v>
      </c>
      <c r="E40" s="727">
        <v>393</v>
      </c>
      <c r="F40" s="204" t="s">
        <v>1146</v>
      </c>
      <c r="H40" s="309">
        <v>4.8500000000000001E-2</v>
      </c>
    </row>
    <row r="41" spans="2:8">
      <c r="B41" s="206">
        <v>34</v>
      </c>
      <c r="E41" s="727">
        <v>394</v>
      </c>
      <c r="F41" s="204" t="s">
        <v>1147</v>
      </c>
      <c r="H41" s="309">
        <v>3.4099999999999998E-2</v>
      </c>
    </row>
    <row r="42" spans="2:8">
      <c r="B42" s="206">
        <v>35</v>
      </c>
      <c r="E42" s="727">
        <v>395</v>
      </c>
      <c r="F42" s="204" t="s">
        <v>1148</v>
      </c>
      <c r="H42" s="309">
        <v>3.9699999999999999E-2</v>
      </c>
    </row>
    <row r="43" spans="2:8">
      <c r="B43" s="206">
        <v>36</v>
      </c>
      <c r="E43" s="727">
        <v>396</v>
      </c>
      <c r="F43" s="204" t="s">
        <v>1161</v>
      </c>
      <c r="H43" s="309">
        <v>4.6699999999999998E-2</v>
      </c>
    </row>
    <row r="44" spans="2:8">
      <c r="B44" s="206">
        <v>37</v>
      </c>
      <c r="E44" s="727">
        <v>397</v>
      </c>
      <c r="F44" s="204" t="s">
        <v>1162</v>
      </c>
      <c r="H44" s="309">
        <v>1.83E-2</v>
      </c>
    </row>
    <row r="45" spans="2:8">
      <c r="B45" s="206">
        <v>38</v>
      </c>
      <c r="E45" s="727">
        <v>397.01</v>
      </c>
      <c r="F45" s="204" t="s">
        <v>1194</v>
      </c>
      <c r="H45" s="309">
        <v>5.0200000000000002E-2</v>
      </c>
    </row>
    <row r="46" spans="2:8">
      <c r="B46" s="206">
        <v>39</v>
      </c>
      <c r="E46" s="727">
        <v>398</v>
      </c>
      <c r="F46" s="204" t="s">
        <v>1159</v>
      </c>
      <c r="H46" s="309">
        <v>3.0300000000000001E-2</v>
      </c>
    </row>
    <row r="47" spans="2:8">
      <c r="B47" s="206">
        <v>40</v>
      </c>
      <c r="F47" s="311" t="s">
        <v>1149</v>
      </c>
      <c r="H47" s="729">
        <v>3.0300000000000001E-2</v>
      </c>
    </row>
    <row r="48" spans="2:8">
      <c r="B48" s="206">
        <v>41</v>
      </c>
      <c r="D48" s="216" t="s">
        <v>1150</v>
      </c>
      <c r="H48" s="692"/>
    </row>
    <row r="49" spans="2:8">
      <c r="B49" s="206">
        <v>42</v>
      </c>
      <c r="E49" s="727">
        <v>301</v>
      </c>
      <c r="F49" s="227" t="s">
        <v>1152</v>
      </c>
      <c r="H49" s="692">
        <v>0.04</v>
      </c>
    </row>
    <row r="50" spans="2:8">
      <c r="B50" s="206">
        <v>43</v>
      </c>
      <c r="E50" s="727">
        <v>302</v>
      </c>
      <c r="F50" s="227" t="s">
        <v>1153</v>
      </c>
      <c r="H50" s="692">
        <v>0.04</v>
      </c>
    </row>
    <row r="51" spans="2:8">
      <c r="B51" s="206">
        <v>44</v>
      </c>
      <c r="E51" s="727">
        <v>303</v>
      </c>
      <c r="F51" s="227" t="s">
        <v>1151</v>
      </c>
      <c r="H51" s="692">
        <v>0.04</v>
      </c>
    </row>
    <row r="52" spans="2:8">
      <c r="B52" s="206">
        <v>45</v>
      </c>
      <c r="F52" s="311" t="s">
        <v>1154</v>
      </c>
      <c r="H52" s="312">
        <v>0.04</v>
      </c>
    </row>
    <row r="53" spans="2:8">
      <c r="B53" s="206">
        <v>46</v>
      </c>
      <c r="H53" s="692"/>
    </row>
    <row r="54" spans="2:8">
      <c r="B54" s="206">
        <v>47</v>
      </c>
      <c r="D54" s="216" t="s">
        <v>1172</v>
      </c>
      <c r="H54" s="692"/>
    </row>
    <row r="55" spans="2:8">
      <c r="B55" s="206">
        <v>48</v>
      </c>
      <c r="E55" s="216" t="s">
        <v>1157</v>
      </c>
      <c r="H55" s="692"/>
    </row>
    <row r="56" spans="2:8">
      <c r="B56" s="206">
        <v>49</v>
      </c>
      <c r="E56" s="727">
        <v>390.01</v>
      </c>
      <c r="F56" s="227" t="s">
        <v>1141</v>
      </c>
      <c r="H56" s="692">
        <v>1.9900000000000001E-2</v>
      </c>
    </row>
    <row r="57" spans="2:8">
      <c r="B57" s="206">
        <v>50</v>
      </c>
      <c r="E57" s="727">
        <v>391</v>
      </c>
      <c r="F57" s="204" t="s">
        <v>1142</v>
      </c>
      <c r="H57" s="692">
        <v>0.1245</v>
      </c>
    </row>
    <row r="58" spans="2:8">
      <c r="B58" s="206">
        <v>51</v>
      </c>
      <c r="E58" s="728">
        <v>392</v>
      </c>
      <c r="F58" s="204" t="s">
        <v>1145</v>
      </c>
      <c r="H58" s="692">
        <v>8.6400000000000005E-2</v>
      </c>
    </row>
    <row r="59" spans="2:8">
      <c r="B59" s="206">
        <v>52</v>
      </c>
      <c r="E59" s="727">
        <v>395</v>
      </c>
      <c r="F59" s="204" t="s">
        <v>1148</v>
      </c>
      <c r="H59" s="692">
        <v>0.05</v>
      </c>
    </row>
    <row r="60" spans="2:8">
      <c r="B60" s="206">
        <v>53</v>
      </c>
      <c r="E60" s="727">
        <v>397</v>
      </c>
      <c r="F60" s="204" t="s">
        <v>1155</v>
      </c>
      <c r="H60" s="692">
        <v>6.6699999999999995E-2</v>
      </c>
    </row>
    <row r="61" spans="2:8">
      <c r="B61" s="206">
        <v>54</v>
      </c>
      <c r="E61" s="727">
        <v>397.1</v>
      </c>
      <c r="F61" s="204" t="s">
        <v>1156</v>
      </c>
      <c r="H61" s="692">
        <v>0.04</v>
      </c>
    </row>
    <row r="62" spans="2:8">
      <c r="B62" s="206">
        <v>55</v>
      </c>
      <c r="F62" s="311" t="s">
        <v>1149</v>
      </c>
      <c r="H62" s="729">
        <v>0.1206</v>
      </c>
    </row>
    <row r="63" spans="2:8">
      <c r="B63" s="206">
        <v>56</v>
      </c>
      <c r="H63" s="730"/>
    </row>
    <row r="64" spans="2:8">
      <c r="B64" s="206">
        <v>57</v>
      </c>
      <c r="E64" s="216" t="s">
        <v>1158</v>
      </c>
      <c r="H64" s="730"/>
    </row>
    <row r="65" spans="2:8">
      <c r="B65" s="206">
        <v>58</v>
      </c>
      <c r="E65" s="727">
        <v>390.01</v>
      </c>
      <c r="F65" s="227" t="s">
        <v>1197</v>
      </c>
      <c r="H65" s="730">
        <v>2.2499999999999999E-2</v>
      </c>
    </row>
    <row r="66" spans="2:8">
      <c r="B66" s="206">
        <v>59</v>
      </c>
      <c r="E66" s="727">
        <v>391</v>
      </c>
      <c r="F66" s="204" t="s">
        <v>1142</v>
      </c>
      <c r="H66" s="730">
        <v>8.1100000000000005E-2</v>
      </c>
    </row>
    <row r="67" spans="2:8">
      <c r="B67" s="206">
        <v>60</v>
      </c>
      <c r="E67" s="727">
        <v>392</v>
      </c>
      <c r="F67" s="204" t="s">
        <v>1196</v>
      </c>
      <c r="H67" s="730">
        <v>9.8299999999999998E-2</v>
      </c>
    </row>
    <row r="68" spans="2:8">
      <c r="B68" s="206">
        <v>61</v>
      </c>
      <c r="E68" s="727">
        <v>394</v>
      </c>
      <c r="F68" s="204" t="s">
        <v>1147</v>
      </c>
      <c r="H68" s="730">
        <v>0.04</v>
      </c>
    </row>
    <row r="69" spans="2:8">
      <c r="B69" s="206">
        <v>62</v>
      </c>
      <c r="E69" s="727">
        <v>397</v>
      </c>
      <c r="F69" s="204" t="s">
        <v>1160</v>
      </c>
      <c r="H69" s="730">
        <v>6.6699999999999995E-2</v>
      </c>
    </row>
    <row r="70" spans="2:8">
      <c r="B70" s="206">
        <v>63</v>
      </c>
      <c r="E70" s="727">
        <v>398</v>
      </c>
      <c r="F70" s="204" t="s">
        <v>1159</v>
      </c>
      <c r="H70" s="730">
        <v>0.05</v>
      </c>
    </row>
    <row r="71" spans="2:8">
      <c r="B71" s="206">
        <v>64</v>
      </c>
      <c r="F71" s="311" t="s">
        <v>1149</v>
      </c>
      <c r="H71" s="729">
        <v>7.9399999999999998E-2</v>
      </c>
    </row>
    <row r="72" spans="2:8">
      <c r="B72" s="206"/>
      <c r="H72" s="692"/>
    </row>
    <row r="73" spans="2:8" ht="16.350000000000001" customHeight="1">
      <c r="B73" s="383" t="s">
        <v>174</v>
      </c>
      <c r="D73" s="216"/>
      <c r="H73" s="310"/>
    </row>
    <row r="74" spans="2:8" ht="27.75" customHeight="1">
      <c r="B74" s="423" t="s">
        <v>79</v>
      </c>
      <c r="C74" s="810" t="s">
        <v>1195</v>
      </c>
      <c r="D74" s="810"/>
      <c r="E74" s="810"/>
      <c r="F74" s="810"/>
      <c r="G74" s="810"/>
      <c r="H74" s="810"/>
    </row>
    <row r="75" spans="2:8" ht="16.350000000000001" customHeight="1">
      <c r="B75" s="206"/>
      <c r="D75" s="216"/>
      <c r="H75" s="310"/>
    </row>
    <row r="76" spans="2:8" ht="16.350000000000001" customHeight="1">
      <c r="B76" s="206"/>
      <c r="D76" s="216"/>
      <c r="H76" s="310"/>
    </row>
    <row r="77" spans="2:8" ht="16.350000000000001" customHeight="1">
      <c r="B77" s="206"/>
      <c r="D77" s="216"/>
      <c r="H77" s="310"/>
    </row>
    <row r="78" spans="2:8" ht="16.350000000000001" customHeight="1">
      <c r="B78" s="206"/>
      <c r="D78" s="216"/>
      <c r="H78" s="310"/>
    </row>
    <row r="79" spans="2:8" ht="16.350000000000001" customHeight="1">
      <c r="B79" s="206"/>
      <c r="D79" s="216"/>
      <c r="H79" s="310"/>
    </row>
    <row r="80" spans="2:8" ht="16.350000000000001" customHeight="1">
      <c r="B80" s="206"/>
      <c r="D80" s="216"/>
      <c r="H80" s="310"/>
    </row>
    <row r="81" spans="2:8" ht="16.350000000000001" customHeight="1">
      <c r="B81" s="206"/>
      <c r="D81" s="216"/>
      <c r="H81" s="310"/>
    </row>
    <row r="82" spans="2:8" ht="16.350000000000001" customHeight="1">
      <c r="B82" s="206"/>
      <c r="D82" s="216"/>
      <c r="H82" s="310"/>
    </row>
    <row r="83" spans="2:8" ht="16.350000000000001" customHeight="1">
      <c r="B83" s="206"/>
      <c r="D83" s="216"/>
      <c r="H83" s="310"/>
    </row>
    <row r="84" spans="2:8" ht="16.350000000000001" customHeight="1">
      <c r="B84" s="206"/>
      <c r="D84" s="216"/>
      <c r="H84" s="310"/>
    </row>
    <row r="85" spans="2:8" ht="16.350000000000001" customHeight="1"/>
    <row r="86" spans="2:8" ht="16.350000000000001" customHeight="1"/>
    <row r="87" spans="2:8" ht="16.350000000000001" customHeight="1"/>
    <row r="88" spans="2:8" ht="16.350000000000001" customHeight="1"/>
  </sheetData>
  <mergeCells count="5">
    <mergeCell ref="C74:H74"/>
    <mergeCell ref="A5:H5"/>
    <mergeCell ref="A1:H1"/>
    <mergeCell ref="A2:H2"/>
    <mergeCell ref="A3:H3"/>
  </mergeCells>
  <printOptions horizontalCentered="1"/>
  <pageMargins left="0.75" right="0.75" top="0.5" bottom="0.25" header="0.5" footer="0.5"/>
  <pageSetup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pageSetUpPr fitToPage="1"/>
  </sheetPr>
  <dimension ref="A1:O34"/>
  <sheetViews>
    <sheetView workbookViewId="0">
      <selection activeCell="B29" sqref="B29"/>
    </sheetView>
  </sheetViews>
  <sheetFormatPr defaultColWidth="7.08984375" defaultRowHeight="13.2"/>
  <cols>
    <col min="1" max="1" width="2.08984375" style="204" customWidth="1"/>
    <col min="2" max="2" width="4.81640625" style="204" customWidth="1"/>
    <col min="3" max="3" width="11.1796875" style="204" customWidth="1"/>
    <col min="4" max="4" width="9.453125" style="204" bestFit="1" customWidth="1"/>
    <col min="5" max="5" width="11.1796875" style="204" customWidth="1"/>
    <col min="6" max="6" width="13" style="204" customWidth="1"/>
    <col min="7" max="7" width="9.453125" style="204" customWidth="1"/>
    <col min="8" max="8" width="8.1796875" style="215" customWidth="1"/>
    <col min="9" max="9" width="8.1796875" style="204" customWidth="1"/>
    <col min="10" max="10" width="9.1796875" style="204" customWidth="1"/>
    <col min="11"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5" ht="14.25" customHeight="1">
      <c r="A1" s="798" t="s">
        <v>536</v>
      </c>
      <c r="B1" s="798"/>
      <c r="C1" s="798"/>
      <c r="D1" s="798"/>
      <c r="E1" s="798"/>
      <c r="F1" s="798"/>
      <c r="G1" s="798"/>
      <c r="H1" s="216"/>
      <c r="I1" s="772"/>
      <c r="J1" s="772"/>
      <c r="K1" s="772"/>
      <c r="L1" s="772"/>
      <c r="M1" s="772"/>
      <c r="N1" s="772"/>
      <c r="O1" s="772"/>
    </row>
    <row r="2" spans="1:15">
      <c r="A2" s="798" t="s">
        <v>561</v>
      </c>
      <c r="B2" s="798"/>
      <c r="C2" s="798"/>
      <c r="D2" s="798"/>
      <c r="E2" s="798"/>
      <c r="F2" s="798"/>
      <c r="G2" s="798"/>
      <c r="H2" s="216"/>
    </row>
    <row r="3" spans="1:15">
      <c r="A3" s="799" t="str">
        <f>'Act Att-H'!C7</f>
        <v>Cheyenne Light, Fuel &amp; Power</v>
      </c>
      <c r="B3" s="799"/>
      <c r="C3" s="799"/>
      <c r="D3" s="799"/>
      <c r="E3" s="799"/>
      <c r="F3" s="799"/>
      <c r="G3" s="799"/>
      <c r="H3" s="228"/>
    </row>
    <row r="4" spans="1:15">
      <c r="F4" s="2"/>
      <c r="G4" s="205" t="s">
        <v>673</v>
      </c>
    </row>
    <row r="5" spans="1:15">
      <c r="A5" s="216"/>
      <c r="B5" s="216"/>
      <c r="C5" s="216"/>
      <c r="D5" s="216"/>
      <c r="E5" s="216"/>
      <c r="F5" s="216"/>
      <c r="G5" s="216"/>
      <c r="H5" s="216"/>
    </row>
    <row r="6" spans="1:15" ht="60.75" customHeight="1">
      <c r="B6" s="127" t="s">
        <v>4</v>
      </c>
      <c r="C6" s="127" t="s">
        <v>268</v>
      </c>
      <c r="D6" s="229" t="s">
        <v>269</v>
      </c>
      <c r="E6" s="229" t="s">
        <v>940</v>
      </c>
      <c r="F6" s="229" t="s">
        <v>562</v>
      </c>
      <c r="G6" s="229" t="s">
        <v>942</v>
      </c>
      <c r="H6" s="204"/>
    </row>
    <row r="7" spans="1:15" ht="15" customHeight="1">
      <c r="B7" s="225"/>
      <c r="C7" s="230" t="s">
        <v>157</v>
      </c>
      <c r="D7" s="231" t="s">
        <v>158</v>
      </c>
      <c r="E7" s="231" t="s">
        <v>159</v>
      </c>
      <c r="F7" s="231" t="s">
        <v>160</v>
      </c>
      <c r="G7" s="231" t="s">
        <v>161</v>
      </c>
      <c r="H7" s="204"/>
    </row>
    <row r="8" spans="1:15" ht="15" customHeight="1">
      <c r="B8" s="206">
        <v>1</v>
      </c>
      <c r="C8" s="421" t="s">
        <v>165</v>
      </c>
      <c r="D8" s="420">
        <v>2023</v>
      </c>
      <c r="E8" s="740">
        <v>272000</v>
      </c>
      <c r="F8" s="232">
        <f>E8</f>
        <v>272000</v>
      </c>
      <c r="G8" s="233"/>
      <c r="H8" s="204"/>
      <c r="I8" s="421"/>
      <c r="J8" s="421"/>
    </row>
    <row r="9" spans="1:15" ht="15" customHeight="1">
      <c r="B9" s="206">
        <v>2</v>
      </c>
      <c r="C9" s="421" t="s">
        <v>166</v>
      </c>
      <c r="D9" s="422">
        <f>D8</f>
        <v>2023</v>
      </c>
      <c r="E9" s="740">
        <v>275000</v>
      </c>
      <c r="F9" s="232">
        <f t="shared" ref="F9:F15" si="0">E9</f>
        <v>275000</v>
      </c>
      <c r="G9" s="233"/>
      <c r="H9" s="204"/>
      <c r="J9" s="421"/>
    </row>
    <row r="10" spans="1:15" ht="15" customHeight="1">
      <c r="B10" s="206">
        <v>3</v>
      </c>
      <c r="C10" s="421" t="s">
        <v>516</v>
      </c>
      <c r="D10" s="422">
        <f t="shared" ref="D10:D19" si="1">D9</f>
        <v>2023</v>
      </c>
      <c r="E10" s="740">
        <v>259000</v>
      </c>
      <c r="F10" s="232">
        <f t="shared" si="0"/>
        <v>259000</v>
      </c>
      <c r="G10" s="233"/>
      <c r="H10" s="204"/>
      <c r="J10" s="421"/>
    </row>
    <row r="11" spans="1:15" ht="15" customHeight="1">
      <c r="B11" s="206">
        <v>4</v>
      </c>
      <c r="C11" s="421" t="s">
        <v>167</v>
      </c>
      <c r="D11" s="422">
        <f t="shared" si="1"/>
        <v>2023</v>
      </c>
      <c r="E11" s="740">
        <v>267000</v>
      </c>
      <c r="F11" s="232">
        <f t="shared" si="0"/>
        <v>267000</v>
      </c>
      <c r="G11" s="233"/>
      <c r="H11" s="204"/>
      <c r="J11" s="421"/>
    </row>
    <row r="12" spans="1:15" ht="15" customHeight="1">
      <c r="B12" s="206">
        <v>5</v>
      </c>
      <c r="C12" s="421" t="s">
        <v>168</v>
      </c>
      <c r="D12" s="422">
        <f t="shared" si="1"/>
        <v>2023</v>
      </c>
      <c r="E12" s="740">
        <v>267000</v>
      </c>
      <c r="F12" s="232">
        <f t="shared" si="0"/>
        <v>267000</v>
      </c>
      <c r="G12" s="233"/>
      <c r="H12" s="204"/>
      <c r="J12" s="421"/>
    </row>
    <row r="13" spans="1:15" ht="15" customHeight="1">
      <c r="B13" s="206">
        <v>6</v>
      </c>
      <c r="C13" s="421" t="s">
        <v>169</v>
      </c>
      <c r="D13" s="422">
        <f t="shared" si="1"/>
        <v>2023</v>
      </c>
      <c r="E13" s="740">
        <v>289000</v>
      </c>
      <c r="F13" s="232">
        <f t="shared" si="0"/>
        <v>289000</v>
      </c>
      <c r="G13" s="233"/>
      <c r="H13" s="204"/>
      <c r="J13" s="421"/>
    </row>
    <row r="14" spans="1:15" ht="15" customHeight="1">
      <c r="B14" s="206">
        <v>7</v>
      </c>
      <c r="C14" s="421" t="s">
        <v>170</v>
      </c>
      <c r="D14" s="422">
        <f t="shared" si="1"/>
        <v>2023</v>
      </c>
      <c r="E14" s="740">
        <v>312000</v>
      </c>
      <c r="F14" s="232">
        <f t="shared" si="0"/>
        <v>312000</v>
      </c>
      <c r="G14" s="233"/>
      <c r="H14" s="204"/>
      <c r="J14" s="421"/>
    </row>
    <row r="15" spans="1:15" ht="15" customHeight="1">
      <c r="B15" s="206">
        <v>8</v>
      </c>
      <c r="C15" s="421" t="s">
        <v>517</v>
      </c>
      <c r="D15" s="422">
        <f t="shared" si="1"/>
        <v>2023</v>
      </c>
      <c r="E15" s="740">
        <v>311000</v>
      </c>
      <c r="F15" s="232">
        <f t="shared" si="0"/>
        <v>311000</v>
      </c>
      <c r="G15" s="233"/>
      <c r="H15" s="204"/>
      <c r="J15" s="421"/>
    </row>
    <row r="16" spans="1:15" ht="15" customHeight="1">
      <c r="B16" s="206">
        <v>9</v>
      </c>
      <c r="C16" s="421" t="s">
        <v>171</v>
      </c>
      <c r="D16" s="422">
        <f t="shared" si="1"/>
        <v>2023</v>
      </c>
      <c r="E16" s="740">
        <v>304000</v>
      </c>
      <c r="F16" s="234"/>
      <c r="G16" s="235">
        <f>E16/F22</f>
        <v>1.0799289520426287</v>
      </c>
      <c r="H16" s="204"/>
      <c r="J16" s="421"/>
    </row>
    <row r="17" spans="2:10" ht="15.6">
      <c r="B17" s="206">
        <v>10</v>
      </c>
      <c r="C17" s="421" t="s">
        <v>172</v>
      </c>
      <c r="D17" s="422">
        <f t="shared" si="1"/>
        <v>2023</v>
      </c>
      <c r="E17" s="740">
        <v>299000</v>
      </c>
      <c r="F17" s="234"/>
      <c r="G17" s="235">
        <f>E17/F22</f>
        <v>1.0621669626998225</v>
      </c>
      <c r="H17" s="204"/>
      <c r="J17" s="421"/>
    </row>
    <row r="18" spans="2:10" ht="15.6">
      <c r="B18" s="206">
        <v>11</v>
      </c>
      <c r="C18" s="421" t="s">
        <v>173</v>
      </c>
      <c r="D18" s="422">
        <f t="shared" si="1"/>
        <v>2023</v>
      </c>
      <c r="E18" s="740">
        <v>297000</v>
      </c>
      <c r="F18" s="234"/>
      <c r="G18" s="235">
        <f>E18/F22</f>
        <v>1.0550621669626998</v>
      </c>
      <c r="H18" s="204"/>
      <c r="J18" s="421"/>
    </row>
    <row r="19" spans="2:10" ht="15.6">
      <c r="B19" s="206">
        <v>12</v>
      </c>
      <c r="C19" s="421" t="s">
        <v>518</v>
      </c>
      <c r="D19" s="422">
        <f t="shared" si="1"/>
        <v>2023</v>
      </c>
      <c r="E19" s="740">
        <v>301000</v>
      </c>
      <c r="F19" s="234"/>
      <c r="G19" s="235">
        <f>E19/F22</f>
        <v>1.0692717584369449</v>
      </c>
      <c r="H19" s="204"/>
      <c r="J19" s="421"/>
    </row>
    <row r="20" spans="2:10">
      <c r="B20" s="206">
        <v>13</v>
      </c>
      <c r="C20" s="236" t="s">
        <v>9</v>
      </c>
      <c r="D20" s="236"/>
      <c r="E20" s="237">
        <f t="shared" ref="E20" si="2">SUM(E8:E19)</f>
        <v>3453000</v>
      </c>
      <c r="G20" s="235"/>
      <c r="H20" s="204"/>
    </row>
    <row r="21" spans="2:10">
      <c r="B21" s="206">
        <v>14</v>
      </c>
      <c r="C21" s="236" t="s">
        <v>253</v>
      </c>
      <c r="D21" s="236"/>
      <c r="E21" s="238">
        <f t="shared" ref="E21" si="3">E20/12</f>
        <v>287750</v>
      </c>
      <c r="G21" s="239"/>
      <c r="H21" s="204"/>
    </row>
    <row r="22" spans="2:10">
      <c r="B22" s="206">
        <v>15</v>
      </c>
      <c r="C22" s="205" t="s">
        <v>563</v>
      </c>
      <c r="F22" s="232">
        <f>AVERAGE(F8:F15)</f>
        <v>281500</v>
      </c>
      <c r="G22" s="227"/>
      <c r="H22" s="204"/>
      <c r="I22" s="226"/>
    </row>
    <row r="23" spans="2:10">
      <c r="B23" s="206"/>
      <c r="H23" s="226"/>
    </row>
    <row r="24" spans="2:10">
      <c r="B24" s="206" t="s">
        <v>174</v>
      </c>
      <c r="H24" s="226"/>
    </row>
    <row r="25" spans="2:10">
      <c r="B25" s="206" t="s">
        <v>79</v>
      </c>
      <c r="C25" s="204" t="s">
        <v>941</v>
      </c>
      <c r="H25" s="226"/>
    </row>
    <row r="26" spans="2:10">
      <c r="B26" s="206" t="s">
        <v>80</v>
      </c>
      <c r="C26" s="595" t="s">
        <v>943</v>
      </c>
      <c r="H26" s="226"/>
    </row>
    <row r="27" spans="2:10">
      <c r="B27" s="206"/>
      <c r="H27" s="226"/>
    </row>
    <row r="28" spans="2:10">
      <c r="B28" s="206"/>
      <c r="H28" s="226"/>
    </row>
    <row r="29" spans="2:10">
      <c r="B29" s="206"/>
      <c r="H29" s="226"/>
    </row>
    <row r="30" spans="2:10">
      <c r="B30" s="206"/>
      <c r="H30" s="226"/>
    </row>
    <row r="31" spans="2:10">
      <c r="B31" s="206"/>
      <c r="H31" s="226"/>
    </row>
    <row r="32" spans="2:10">
      <c r="B32" s="206"/>
      <c r="H32" s="226"/>
    </row>
    <row r="33" spans="2:5">
      <c r="B33" s="206"/>
    </row>
    <row r="34" spans="2:5">
      <c r="B34" s="206"/>
      <c r="E34" s="205"/>
    </row>
  </sheetData>
  <mergeCells count="4">
    <mergeCell ref="A1:G1"/>
    <mergeCell ref="A2:G2"/>
    <mergeCell ref="A3:G3"/>
    <mergeCell ref="I1:O1"/>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W134"/>
  <sheetViews>
    <sheetView topLeftCell="A16" zoomScale="80" zoomScaleNormal="80" workbookViewId="0">
      <selection activeCell="A50" sqref="A50"/>
    </sheetView>
  </sheetViews>
  <sheetFormatPr defaultColWidth="8.81640625" defaultRowHeight="13.8"/>
  <cols>
    <col min="1" max="1" width="5" style="1" bestFit="1" customWidth="1"/>
    <col min="2" max="2" width="6.08984375" style="27" customWidth="1"/>
    <col min="3" max="6" width="12.81640625" style="2" customWidth="1"/>
    <col min="7" max="7" width="1.81640625" style="27" customWidth="1"/>
    <col min="8" max="15" width="12.81640625" style="2" customWidth="1"/>
    <col min="16" max="16" width="10.81640625" style="2" customWidth="1"/>
    <col min="17" max="17" width="8.81640625" style="4"/>
    <col min="18" max="16384" width="8.81640625" style="2"/>
  </cols>
  <sheetData>
    <row r="1" spans="1:23" ht="13.2">
      <c r="A1" s="793" t="s">
        <v>685</v>
      </c>
      <c r="B1" s="793"/>
      <c r="C1" s="793"/>
      <c r="D1" s="793"/>
      <c r="E1" s="793"/>
      <c r="F1" s="793"/>
      <c r="G1" s="793"/>
      <c r="H1" s="793"/>
      <c r="I1" s="793"/>
      <c r="J1" s="793"/>
      <c r="K1" s="793"/>
      <c r="L1" s="793"/>
      <c r="M1" s="793"/>
      <c r="N1" s="793"/>
      <c r="O1" s="793"/>
      <c r="Q1" s="772"/>
      <c r="R1" s="772"/>
      <c r="S1" s="772"/>
      <c r="T1" s="772"/>
      <c r="U1" s="772"/>
      <c r="V1" s="772"/>
      <c r="W1" s="772"/>
    </row>
    <row r="2" spans="1:23">
      <c r="A2" s="813" t="s">
        <v>686</v>
      </c>
      <c r="B2" s="813"/>
      <c r="C2" s="813"/>
      <c r="D2" s="813"/>
      <c r="E2" s="813"/>
      <c r="F2" s="813"/>
      <c r="G2" s="813"/>
      <c r="H2" s="813"/>
      <c r="I2" s="813"/>
      <c r="J2" s="813"/>
      <c r="K2" s="813"/>
      <c r="L2" s="813"/>
      <c r="M2" s="813"/>
      <c r="N2" s="813"/>
      <c r="O2" s="813"/>
    </row>
    <row r="3" spans="1:23">
      <c r="A3" s="814" t="str">
        <f>'Act Att-H'!C7</f>
        <v>Cheyenne Light, Fuel &amp; Power</v>
      </c>
      <c r="B3" s="814"/>
      <c r="C3" s="814"/>
      <c r="D3" s="814"/>
      <c r="E3" s="814"/>
      <c r="F3" s="814"/>
      <c r="G3" s="814"/>
      <c r="H3" s="814"/>
      <c r="I3" s="814"/>
      <c r="J3" s="814"/>
      <c r="K3" s="814"/>
      <c r="L3" s="814"/>
      <c r="M3" s="814"/>
      <c r="N3" s="814"/>
      <c r="O3" s="814"/>
    </row>
    <row r="4" spans="1:23">
      <c r="A4" s="5"/>
      <c r="C4" s="3"/>
      <c r="D4" s="3"/>
      <c r="E4" s="3"/>
      <c r="F4" s="3"/>
      <c r="G4" s="343"/>
      <c r="H4" s="3"/>
      <c r="I4" s="3"/>
      <c r="O4" s="188" t="s">
        <v>673</v>
      </c>
    </row>
    <row r="5" spans="1:23" ht="15" customHeight="1">
      <c r="A5" s="44"/>
      <c r="C5" s="46"/>
      <c r="D5" s="46"/>
      <c r="E5" s="46"/>
      <c r="F5" s="46"/>
      <c r="G5" s="344"/>
    </row>
    <row r="6" spans="1:23" s="313" customFormat="1">
      <c r="A6" s="347" t="s">
        <v>4</v>
      </c>
      <c r="G6" s="322"/>
      <c r="H6" s="355" t="s">
        <v>694</v>
      </c>
      <c r="I6" s="596" t="s">
        <v>948</v>
      </c>
      <c r="P6" s="2"/>
      <c r="Q6" s="4"/>
      <c r="R6" s="2"/>
      <c r="S6" s="2"/>
    </row>
    <row r="7" spans="1:23" s="313" customFormat="1" ht="13.2">
      <c r="A7" s="345">
        <v>1</v>
      </c>
      <c r="B7" s="322"/>
      <c r="G7" s="322"/>
      <c r="H7" s="314" t="s">
        <v>687</v>
      </c>
      <c r="I7" s="335" t="s">
        <v>695</v>
      </c>
      <c r="J7" s="335"/>
      <c r="K7" s="338"/>
      <c r="L7" s="314" t="s">
        <v>687</v>
      </c>
      <c r="M7" s="335" t="s">
        <v>697</v>
      </c>
      <c r="N7" s="335"/>
      <c r="O7" s="361"/>
      <c r="P7" s="2"/>
      <c r="Q7" s="762"/>
      <c r="R7" s="762"/>
      <c r="S7" s="762"/>
      <c r="T7" s="762"/>
      <c r="U7" s="762"/>
      <c r="V7" s="762"/>
    </row>
    <row r="8" spans="1:23" s="313" customFormat="1">
      <c r="A8" s="345">
        <f>A7+1</f>
        <v>2</v>
      </c>
      <c r="B8" s="322"/>
      <c r="G8" s="322"/>
      <c r="H8" s="315" t="s">
        <v>696</v>
      </c>
      <c r="I8" s="336" t="s">
        <v>688</v>
      </c>
      <c r="L8" s="315" t="s">
        <v>696</v>
      </c>
      <c r="M8" s="336" t="s">
        <v>688</v>
      </c>
      <c r="O8" s="316"/>
      <c r="P8" s="2"/>
      <c r="Q8" s="4"/>
      <c r="R8" s="2"/>
      <c r="S8" s="2"/>
    </row>
    <row r="9" spans="1:23" s="313" customFormat="1">
      <c r="A9" s="345">
        <f t="shared" ref="A9:A14" si="0">A8+1</f>
        <v>3</v>
      </c>
      <c r="B9" s="322"/>
      <c r="G9" s="322"/>
      <c r="H9" s="315" t="s">
        <v>689</v>
      </c>
      <c r="I9" s="337">
        <v>0</v>
      </c>
      <c r="J9" s="313" t="s">
        <v>636</v>
      </c>
      <c r="L9" s="315" t="s">
        <v>689</v>
      </c>
      <c r="M9" s="337">
        <v>0</v>
      </c>
      <c r="N9" s="313" t="s">
        <v>636</v>
      </c>
      <c r="O9" s="316"/>
      <c r="P9" s="2"/>
      <c r="Q9" s="4"/>
      <c r="R9" s="2"/>
      <c r="S9" s="2"/>
    </row>
    <row r="10" spans="1:23" s="313" customFormat="1">
      <c r="A10" s="345">
        <f t="shared" si="0"/>
        <v>4</v>
      </c>
      <c r="B10" s="322"/>
      <c r="G10" s="322"/>
      <c r="H10" s="315" t="s">
        <v>690</v>
      </c>
      <c r="I10" s="337">
        <v>0</v>
      </c>
      <c r="J10" s="313" t="s">
        <v>700</v>
      </c>
      <c r="L10" s="315" t="s">
        <v>690</v>
      </c>
      <c r="M10" s="337">
        <v>0</v>
      </c>
      <c r="N10" s="313" t="s">
        <v>700</v>
      </c>
      <c r="O10" s="316"/>
      <c r="P10" s="2"/>
      <c r="Q10" s="4"/>
      <c r="R10" s="2"/>
      <c r="S10" s="2"/>
    </row>
    <row r="11" spans="1:23" s="313" customFormat="1">
      <c r="A11" s="345">
        <f t="shared" si="0"/>
        <v>5</v>
      </c>
      <c r="B11" s="322"/>
      <c r="G11" s="322"/>
      <c r="H11" s="315" t="s">
        <v>713</v>
      </c>
      <c r="I11" s="317">
        <f>I10*'Act Att-H'!E214</f>
        <v>0</v>
      </c>
      <c r="L11" s="315" t="s">
        <v>713</v>
      </c>
      <c r="M11" s="317">
        <f>M10*'Act Att-H'!E214</f>
        <v>0</v>
      </c>
      <c r="O11" s="316"/>
      <c r="P11" s="2"/>
      <c r="Q11" s="4"/>
      <c r="R11" s="2"/>
      <c r="S11" s="2"/>
    </row>
    <row r="12" spans="1:23" s="313" customFormat="1">
      <c r="A12" s="345">
        <f t="shared" si="0"/>
        <v>6</v>
      </c>
      <c r="B12" s="322"/>
      <c r="G12" s="322"/>
      <c r="H12" s="315" t="s">
        <v>691</v>
      </c>
      <c r="I12" s="339"/>
      <c r="L12" s="315" t="s">
        <v>691</v>
      </c>
      <c r="M12" s="339"/>
      <c r="O12" s="316"/>
      <c r="P12" s="2"/>
      <c r="Q12" s="4"/>
      <c r="R12" s="2"/>
      <c r="S12" s="2"/>
    </row>
    <row r="13" spans="1:23" s="313" customFormat="1">
      <c r="A13" s="345">
        <f t="shared" si="0"/>
        <v>7</v>
      </c>
      <c r="G13" s="322"/>
      <c r="H13" s="315"/>
      <c r="L13" s="315"/>
      <c r="O13" s="316"/>
      <c r="P13" s="2"/>
      <c r="Q13" s="4"/>
      <c r="R13" s="2"/>
      <c r="S13" s="2"/>
    </row>
    <row r="14" spans="1:23" s="313" customFormat="1">
      <c r="A14" s="345">
        <f t="shared" si="0"/>
        <v>8</v>
      </c>
      <c r="B14" s="322"/>
      <c r="C14" s="812" t="s">
        <v>9</v>
      </c>
      <c r="D14" s="812"/>
      <c r="E14" s="812"/>
      <c r="F14" s="812"/>
      <c r="G14" s="322"/>
      <c r="H14" s="315"/>
      <c r="L14" s="315"/>
      <c r="O14" s="316"/>
      <c r="P14" s="2"/>
      <c r="Q14" s="4"/>
      <c r="R14" s="2"/>
      <c r="S14" s="2"/>
    </row>
    <row r="15" spans="1:23" s="313" customFormat="1">
      <c r="A15" s="322"/>
      <c r="B15" s="322"/>
      <c r="G15" s="322"/>
      <c r="H15" s="315"/>
      <c r="K15" s="313" t="s">
        <v>1132</v>
      </c>
      <c r="L15" s="315"/>
      <c r="O15" s="316" t="s">
        <v>1132</v>
      </c>
      <c r="P15" s="2"/>
      <c r="Q15" s="4"/>
      <c r="R15" s="2"/>
      <c r="S15" s="2"/>
    </row>
    <row r="16" spans="1:23" s="313" customFormat="1" ht="57" customHeight="1">
      <c r="A16" s="322"/>
      <c r="B16" s="342" t="s">
        <v>269</v>
      </c>
      <c r="C16" s="342" t="s">
        <v>692</v>
      </c>
      <c r="D16" s="342" t="s">
        <v>486</v>
      </c>
      <c r="E16" s="342" t="s">
        <v>693</v>
      </c>
      <c r="F16" s="342" t="s">
        <v>707</v>
      </c>
      <c r="G16" s="362"/>
      <c r="H16" s="321" t="s">
        <v>692</v>
      </c>
      <c r="I16" s="716" t="s">
        <v>1082</v>
      </c>
      <c r="J16" s="322" t="s">
        <v>693</v>
      </c>
      <c r="K16" s="716" t="s">
        <v>1134</v>
      </c>
      <c r="L16" s="321" t="s">
        <v>692</v>
      </c>
      <c r="M16" s="716" t="s">
        <v>1082</v>
      </c>
      <c r="N16" s="322" t="s">
        <v>693</v>
      </c>
      <c r="O16" s="717" t="s">
        <v>1134</v>
      </c>
      <c r="P16" s="2"/>
      <c r="Q16" s="4"/>
      <c r="R16" s="2"/>
      <c r="S16" s="2"/>
    </row>
    <row r="17" spans="1:19" s="313" customFormat="1">
      <c r="A17" s="322"/>
      <c r="B17" s="320" t="s">
        <v>157</v>
      </c>
      <c r="C17" s="320" t="s">
        <v>158</v>
      </c>
      <c r="D17" s="320" t="s">
        <v>703</v>
      </c>
      <c r="E17" s="320" t="s">
        <v>704</v>
      </c>
      <c r="F17" s="320" t="s">
        <v>705</v>
      </c>
      <c r="G17" s="318"/>
      <c r="H17" s="320" t="s">
        <v>715</v>
      </c>
      <c r="I17" s="685" t="s">
        <v>716</v>
      </c>
      <c r="J17" s="320" t="s">
        <v>717</v>
      </c>
      <c r="K17" s="718" t="s">
        <v>718</v>
      </c>
      <c r="L17" s="320" t="s">
        <v>719</v>
      </c>
      <c r="M17" s="685" t="s">
        <v>720</v>
      </c>
      <c r="N17" s="320" t="s">
        <v>721</v>
      </c>
      <c r="O17" s="718" t="s">
        <v>722</v>
      </c>
      <c r="P17" s="2"/>
      <c r="Q17" s="4"/>
      <c r="R17" s="2"/>
      <c r="S17" s="2"/>
    </row>
    <row r="18" spans="1:19" s="313" customFormat="1">
      <c r="A18" s="322"/>
      <c r="B18" s="322"/>
      <c r="G18" s="322"/>
      <c r="H18" s="321"/>
      <c r="I18" s="322"/>
      <c r="J18" s="322"/>
      <c r="K18" s="322"/>
      <c r="L18" s="321"/>
      <c r="M18" s="322"/>
      <c r="N18" s="322"/>
      <c r="O18" s="323"/>
      <c r="P18" s="2"/>
      <c r="Q18" s="4"/>
      <c r="R18" s="2"/>
      <c r="S18" s="2"/>
    </row>
    <row r="19" spans="1:19" s="313" customFormat="1">
      <c r="A19" s="345">
        <f>A14+1</f>
        <v>9</v>
      </c>
      <c r="B19" s="348" t="s">
        <v>1221</v>
      </c>
      <c r="C19" s="324">
        <f>+H19+L19</f>
        <v>0</v>
      </c>
      <c r="D19" s="324">
        <f>+I19+M19</f>
        <v>0</v>
      </c>
      <c r="E19" s="324">
        <f>+J19+N19</f>
        <v>0</v>
      </c>
      <c r="F19" s="324">
        <f>+K19+O19</f>
        <v>0</v>
      </c>
      <c r="G19" s="345"/>
      <c r="H19" s="340">
        <v>0</v>
      </c>
      <c r="I19" s="341">
        <v>0</v>
      </c>
      <c r="J19" s="686">
        <f>+H19-I19</f>
        <v>0</v>
      </c>
      <c r="K19" s="325">
        <f>ROUND(J19*I$11,2)</f>
        <v>0</v>
      </c>
      <c r="L19" s="340">
        <v>0</v>
      </c>
      <c r="M19" s="341">
        <v>0</v>
      </c>
      <c r="N19" s="686">
        <f>+L19-M19</f>
        <v>0</v>
      </c>
      <c r="O19" s="326">
        <f>ROUND(N19*M$11,2)</f>
        <v>0</v>
      </c>
      <c r="P19" s="2"/>
      <c r="Q19" s="4"/>
      <c r="R19" s="2"/>
      <c r="S19" s="2"/>
    </row>
    <row r="20" spans="1:19" s="313" customFormat="1">
      <c r="A20" s="345">
        <f t="shared" ref="A20:A42" si="1">A19+1</f>
        <v>10</v>
      </c>
      <c r="B20" s="348" t="s">
        <v>1221</v>
      </c>
      <c r="C20" s="324">
        <f t="shared" ref="C20:C42" si="2">+H20+L20</f>
        <v>0</v>
      </c>
      <c r="D20" s="324">
        <f t="shared" ref="D20:D42" si="3">+I20+M20</f>
        <v>0</v>
      </c>
      <c r="E20" s="324">
        <f t="shared" ref="E20:E42" si="4">+J20+N20</f>
        <v>0</v>
      </c>
      <c r="F20" s="324">
        <f t="shared" ref="F20:F42" si="5">+K20+O20</f>
        <v>0</v>
      </c>
      <c r="G20" s="345"/>
      <c r="H20" s="340">
        <v>0</v>
      </c>
      <c r="I20" s="686">
        <f>(H20*$I$9)+I19</f>
        <v>0</v>
      </c>
      <c r="J20" s="325">
        <f>+H20-I20</f>
        <v>0</v>
      </c>
      <c r="K20" s="325">
        <f t="shared" ref="K20:K42" si="6">ROUND(J20*I$11,2)</f>
        <v>0</v>
      </c>
      <c r="L20" s="340">
        <v>0</v>
      </c>
      <c r="M20" s="686">
        <f>(L20*$M$9)+M19</f>
        <v>0</v>
      </c>
      <c r="N20" s="325">
        <f>+L20-M20</f>
        <v>0</v>
      </c>
      <c r="O20" s="326">
        <f t="shared" ref="O20:O42" si="7">ROUND(N20*M$11,2)</f>
        <v>0</v>
      </c>
      <c r="P20" s="2"/>
      <c r="Q20" s="4"/>
      <c r="R20" s="2"/>
      <c r="S20" s="2"/>
    </row>
    <row r="21" spans="1:19" s="313" customFormat="1">
      <c r="A21" s="345">
        <f t="shared" si="1"/>
        <v>11</v>
      </c>
      <c r="B21" s="348" t="s">
        <v>1221</v>
      </c>
      <c r="C21" s="324">
        <f t="shared" si="2"/>
        <v>0</v>
      </c>
      <c r="D21" s="324">
        <f t="shared" si="3"/>
        <v>0</v>
      </c>
      <c r="E21" s="324">
        <f t="shared" si="4"/>
        <v>0</v>
      </c>
      <c r="F21" s="324">
        <f t="shared" si="5"/>
        <v>0</v>
      </c>
      <c r="G21" s="345"/>
      <c r="H21" s="340">
        <v>0</v>
      </c>
      <c r="I21" s="686">
        <f t="shared" ref="I21:I42" si="8">(H21*$I$9)+I20</f>
        <v>0</v>
      </c>
      <c r="J21" s="325">
        <f>+H21-I21</f>
        <v>0</v>
      </c>
      <c r="K21" s="325">
        <f t="shared" si="6"/>
        <v>0</v>
      </c>
      <c r="L21" s="340">
        <v>0</v>
      </c>
      <c r="M21" s="686">
        <f t="shared" ref="M21:M42" si="9">(L21*$M$9)+M20</f>
        <v>0</v>
      </c>
      <c r="N21" s="325">
        <f>+L21-M21</f>
        <v>0</v>
      </c>
      <c r="O21" s="326">
        <f t="shared" si="7"/>
        <v>0</v>
      </c>
      <c r="P21" s="2"/>
      <c r="Q21" s="4"/>
      <c r="R21" s="2"/>
      <c r="S21" s="2"/>
    </row>
    <row r="22" spans="1:19" s="313" customFormat="1">
      <c r="A22" s="345">
        <f t="shared" si="1"/>
        <v>12</v>
      </c>
      <c r="B22" s="348" t="s">
        <v>1221</v>
      </c>
      <c r="C22" s="324">
        <f t="shared" si="2"/>
        <v>0</v>
      </c>
      <c r="D22" s="324">
        <f t="shared" si="3"/>
        <v>0</v>
      </c>
      <c r="E22" s="324">
        <f t="shared" si="4"/>
        <v>0</v>
      </c>
      <c r="F22" s="324">
        <f t="shared" si="5"/>
        <v>0</v>
      </c>
      <c r="G22" s="345"/>
      <c r="H22" s="340">
        <v>0</v>
      </c>
      <c r="I22" s="686">
        <f t="shared" si="8"/>
        <v>0</v>
      </c>
      <c r="J22" s="325">
        <f>+H22-I22</f>
        <v>0</v>
      </c>
      <c r="K22" s="325">
        <f t="shared" si="6"/>
        <v>0</v>
      </c>
      <c r="L22" s="340">
        <v>0</v>
      </c>
      <c r="M22" s="686">
        <f t="shared" si="9"/>
        <v>0</v>
      </c>
      <c r="N22" s="325">
        <f>+L22-M22</f>
        <v>0</v>
      </c>
      <c r="O22" s="326">
        <f t="shared" si="7"/>
        <v>0</v>
      </c>
      <c r="P22" s="2"/>
      <c r="Q22" s="4"/>
      <c r="R22" s="2"/>
      <c r="S22" s="2"/>
    </row>
    <row r="23" spans="1:19" s="313" customFormat="1">
      <c r="A23" s="345">
        <f t="shared" si="1"/>
        <v>13</v>
      </c>
      <c r="B23" s="348" t="s">
        <v>1221</v>
      </c>
      <c r="C23" s="324">
        <f t="shared" si="2"/>
        <v>0</v>
      </c>
      <c r="D23" s="324">
        <f t="shared" si="3"/>
        <v>0</v>
      </c>
      <c r="E23" s="324">
        <f t="shared" si="4"/>
        <v>0</v>
      </c>
      <c r="F23" s="324">
        <f t="shared" si="5"/>
        <v>0</v>
      </c>
      <c r="G23" s="345"/>
      <c r="H23" s="340">
        <v>0</v>
      </c>
      <c r="I23" s="686">
        <f t="shared" si="8"/>
        <v>0</v>
      </c>
      <c r="J23" s="325">
        <f t="shared" ref="J23:J42" si="10">+H23-I23</f>
        <v>0</v>
      </c>
      <c r="K23" s="325">
        <f t="shared" si="6"/>
        <v>0</v>
      </c>
      <c r="L23" s="340">
        <v>0</v>
      </c>
      <c r="M23" s="686">
        <f t="shared" si="9"/>
        <v>0</v>
      </c>
      <c r="N23" s="325">
        <f t="shared" ref="N23:N42" si="11">+L23-M23</f>
        <v>0</v>
      </c>
      <c r="O23" s="326">
        <f t="shared" si="7"/>
        <v>0</v>
      </c>
      <c r="P23" s="2"/>
      <c r="Q23" s="4"/>
      <c r="R23" s="2"/>
      <c r="S23" s="2"/>
    </row>
    <row r="24" spans="1:19" s="313" customFormat="1">
      <c r="A24" s="345">
        <f t="shared" si="1"/>
        <v>14</v>
      </c>
      <c r="B24" s="348" t="s">
        <v>1221</v>
      </c>
      <c r="C24" s="324">
        <f t="shared" si="2"/>
        <v>0</v>
      </c>
      <c r="D24" s="324">
        <f t="shared" si="3"/>
        <v>0</v>
      </c>
      <c r="E24" s="324">
        <f t="shared" si="4"/>
        <v>0</v>
      </c>
      <c r="F24" s="324">
        <f t="shared" si="5"/>
        <v>0</v>
      </c>
      <c r="G24" s="345"/>
      <c r="H24" s="340">
        <v>0</v>
      </c>
      <c r="I24" s="686">
        <f t="shared" si="8"/>
        <v>0</v>
      </c>
      <c r="J24" s="325">
        <f t="shared" si="10"/>
        <v>0</v>
      </c>
      <c r="K24" s="325">
        <f t="shared" si="6"/>
        <v>0</v>
      </c>
      <c r="L24" s="340">
        <v>0</v>
      </c>
      <c r="M24" s="686">
        <f t="shared" si="9"/>
        <v>0</v>
      </c>
      <c r="N24" s="325">
        <f t="shared" si="11"/>
        <v>0</v>
      </c>
      <c r="O24" s="326">
        <f t="shared" si="7"/>
        <v>0</v>
      </c>
      <c r="P24" s="2"/>
      <c r="Q24" s="4"/>
      <c r="R24" s="2"/>
      <c r="S24" s="2"/>
    </row>
    <row r="25" spans="1:19" s="313" customFormat="1">
      <c r="A25" s="345">
        <f t="shared" si="1"/>
        <v>15</v>
      </c>
      <c r="B25" s="348" t="s">
        <v>1221</v>
      </c>
      <c r="C25" s="324">
        <f t="shared" si="2"/>
        <v>0</v>
      </c>
      <c r="D25" s="324">
        <f t="shared" si="3"/>
        <v>0</v>
      </c>
      <c r="E25" s="324">
        <f t="shared" si="4"/>
        <v>0</v>
      </c>
      <c r="F25" s="324">
        <f t="shared" si="5"/>
        <v>0</v>
      </c>
      <c r="G25" s="345"/>
      <c r="H25" s="340">
        <v>0</v>
      </c>
      <c r="I25" s="686">
        <f t="shared" si="8"/>
        <v>0</v>
      </c>
      <c r="J25" s="325">
        <f t="shared" si="10"/>
        <v>0</v>
      </c>
      <c r="K25" s="325">
        <f t="shared" si="6"/>
        <v>0</v>
      </c>
      <c r="L25" s="340">
        <v>0</v>
      </c>
      <c r="M25" s="686">
        <f t="shared" si="9"/>
        <v>0</v>
      </c>
      <c r="N25" s="325">
        <f t="shared" si="11"/>
        <v>0</v>
      </c>
      <c r="O25" s="326">
        <f t="shared" si="7"/>
        <v>0</v>
      </c>
      <c r="P25" s="2"/>
      <c r="Q25" s="4"/>
      <c r="R25" s="2"/>
      <c r="S25" s="2"/>
    </row>
    <row r="26" spans="1:19" s="313" customFormat="1">
      <c r="A26" s="345">
        <f t="shared" si="1"/>
        <v>16</v>
      </c>
      <c r="B26" s="348" t="s">
        <v>1221</v>
      </c>
      <c r="C26" s="324">
        <f t="shared" si="2"/>
        <v>0</v>
      </c>
      <c r="D26" s="324">
        <f t="shared" si="3"/>
        <v>0</v>
      </c>
      <c r="E26" s="324">
        <f t="shared" si="4"/>
        <v>0</v>
      </c>
      <c r="F26" s="324">
        <f t="shared" si="5"/>
        <v>0</v>
      </c>
      <c r="G26" s="345"/>
      <c r="H26" s="340">
        <v>0</v>
      </c>
      <c r="I26" s="686">
        <f t="shared" si="8"/>
        <v>0</v>
      </c>
      <c r="J26" s="325">
        <f t="shared" si="10"/>
        <v>0</v>
      </c>
      <c r="K26" s="325">
        <f t="shared" si="6"/>
        <v>0</v>
      </c>
      <c r="L26" s="340">
        <v>0</v>
      </c>
      <c r="M26" s="686">
        <f t="shared" si="9"/>
        <v>0</v>
      </c>
      <c r="N26" s="325">
        <f t="shared" si="11"/>
        <v>0</v>
      </c>
      <c r="O26" s="326">
        <f t="shared" si="7"/>
        <v>0</v>
      </c>
      <c r="P26" s="2"/>
      <c r="Q26" s="4"/>
      <c r="R26" s="2"/>
      <c r="S26" s="2"/>
    </row>
    <row r="27" spans="1:19" s="313" customFormat="1">
      <c r="A27" s="345">
        <f t="shared" si="1"/>
        <v>17</v>
      </c>
      <c r="B27" s="348" t="s">
        <v>1221</v>
      </c>
      <c r="C27" s="324">
        <f t="shared" si="2"/>
        <v>0</v>
      </c>
      <c r="D27" s="324">
        <f t="shared" si="3"/>
        <v>0</v>
      </c>
      <c r="E27" s="324">
        <f t="shared" si="4"/>
        <v>0</v>
      </c>
      <c r="F27" s="324">
        <f t="shared" si="5"/>
        <v>0</v>
      </c>
      <c r="G27" s="345"/>
      <c r="H27" s="340">
        <v>0</v>
      </c>
      <c r="I27" s="686">
        <f t="shared" si="8"/>
        <v>0</v>
      </c>
      <c r="J27" s="325">
        <f t="shared" si="10"/>
        <v>0</v>
      </c>
      <c r="K27" s="325">
        <f t="shared" si="6"/>
        <v>0</v>
      </c>
      <c r="L27" s="340">
        <v>0</v>
      </c>
      <c r="M27" s="686">
        <f t="shared" si="9"/>
        <v>0</v>
      </c>
      <c r="N27" s="325">
        <f t="shared" si="11"/>
        <v>0</v>
      </c>
      <c r="O27" s="326">
        <f t="shared" si="7"/>
        <v>0</v>
      </c>
      <c r="P27" s="2"/>
      <c r="Q27" s="4"/>
      <c r="R27" s="2"/>
      <c r="S27" s="2"/>
    </row>
    <row r="28" spans="1:19" s="313" customFormat="1">
      <c r="A28" s="345">
        <f t="shared" si="1"/>
        <v>18</v>
      </c>
      <c r="B28" s="348" t="s">
        <v>1221</v>
      </c>
      <c r="C28" s="324">
        <f t="shared" si="2"/>
        <v>0</v>
      </c>
      <c r="D28" s="324">
        <f t="shared" si="3"/>
        <v>0</v>
      </c>
      <c r="E28" s="324">
        <f t="shared" si="4"/>
        <v>0</v>
      </c>
      <c r="F28" s="324">
        <f t="shared" si="5"/>
        <v>0</v>
      </c>
      <c r="G28" s="345"/>
      <c r="H28" s="340">
        <v>0</v>
      </c>
      <c r="I28" s="686">
        <f t="shared" si="8"/>
        <v>0</v>
      </c>
      <c r="J28" s="325">
        <f t="shared" si="10"/>
        <v>0</v>
      </c>
      <c r="K28" s="325">
        <f t="shared" si="6"/>
        <v>0</v>
      </c>
      <c r="L28" s="340">
        <v>0</v>
      </c>
      <c r="M28" s="686">
        <f t="shared" si="9"/>
        <v>0</v>
      </c>
      <c r="N28" s="325">
        <f t="shared" si="11"/>
        <v>0</v>
      </c>
      <c r="O28" s="326">
        <f t="shared" si="7"/>
        <v>0</v>
      </c>
      <c r="P28" s="2"/>
      <c r="Q28" s="4"/>
      <c r="R28" s="2"/>
      <c r="S28" s="2"/>
    </row>
    <row r="29" spans="1:19" s="313" customFormat="1">
      <c r="A29" s="345">
        <f t="shared" si="1"/>
        <v>19</v>
      </c>
      <c r="B29" s="348" t="s">
        <v>1221</v>
      </c>
      <c r="C29" s="324">
        <f t="shared" si="2"/>
        <v>0</v>
      </c>
      <c r="D29" s="324">
        <f t="shared" si="3"/>
        <v>0</v>
      </c>
      <c r="E29" s="324">
        <f t="shared" si="4"/>
        <v>0</v>
      </c>
      <c r="F29" s="324">
        <f t="shared" si="5"/>
        <v>0</v>
      </c>
      <c r="G29" s="345"/>
      <c r="H29" s="340">
        <v>0</v>
      </c>
      <c r="I29" s="686">
        <f t="shared" si="8"/>
        <v>0</v>
      </c>
      <c r="J29" s="325">
        <f t="shared" si="10"/>
        <v>0</v>
      </c>
      <c r="K29" s="325">
        <f t="shared" si="6"/>
        <v>0</v>
      </c>
      <c r="L29" s="340">
        <v>0</v>
      </c>
      <c r="M29" s="686">
        <f t="shared" si="9"/>
        <v>0</v>
      </c>
      <c r="N29" s="325">
        <f t="shared" si="11"/>
        <v>0</v>
      </c>
      <c r="O29" s="326">
        <f t="shared" si="7"/>
        <v>0</v>
      </c>
      <c r="P29" s="2"/>
      <c r="Q29" s="4"/>
      <c r="R29" s="2"/>
      <c r="S29" s="2"/>
    </row>
    <row r="30" spans="1:19" s="313" customFormat="1">
      <c r="A30" s="345">
        <f t="shared" si="1"/>
        <v>20</v>
      </c>
      <c r="B30" s="348" t="s">
        <v>1221</v>
      </c>
      <c r="C30" s="324">
        <f t="shared" si="2"/>
        <v>0</v>
      </c>
      <c r="D30" s="324">
        <f t="shared" si="3"/>
        <v>0</v>
      </c>
      <c r="E30" s="324">
        <f t="shared" si="4"/>
        <v>0</v>
      </c>
      <c r="F30" s="324">
        <f t="shared" si="5"/>
        <v>0</v>
      </c>
      <c r="G30" s="345"/>
      <c r="H30" s="340">
        <v>0</v>
      </c>
      <c r="I30" s="686">
        <f t="shared" si="8"/>
        <v>0</v>
      </c>
      <c r="J30" s="325">
        <f t="shared" si="10"/>
        <v>0</v>
      </c>
      <c r="K30" s="325">
        <f t="shared" si="6"/>
        <v>0</v>
      </c>
      <c r="L30" s="340">
        <v>0</v>
      </c>
      <c r="M30" s="686">
        <f t="shared" si="9"/>
        <v>0</v>
      </c>
      <c r="N30" s="325">
        <f t="shared" si="11"/>
        <v>0</v>
      </c>
      <c r="O30" s="326">
        <f t="shared" si="7"/>
        <v>0</v>
      </c>
      <c r="P30" s="2"/>
      <c r="Q30" s="4"/>
      <c r="R30" s="2"/>
      <c r="S30" s="2"/>
    </row>
    <row r="31" spans="1:19" s="313" customFormat="1">
      <c r="A31" s="345">
        <f t="shared" si="1"/>
        <v>21</v>
      </c>
      <c r="B31" s="348" t="s">
        <v>1221</v>
      </c>
      <c r="C31" s="324">
        <f t="shared" si="2"/>
        <v>0</v>
      </c>
      <c r="D31" s="324">
        <f t="shared" si="3"/>
        <v>0</v>
      </c>
      <c r="E31" s="324">
        <f t="shared" si="4"/>
        <v>0</v>
      </c>
      <c r="F31" s="324">
        <f t="shared" si="5"/>
        <v>0</v>
      </c>
      <c r="G31" s="345"/>
      <c r="H31" s="340">
        <v>0</v>
      </c>
      <c r="I31" s="686">
        <f t="shared" si="8"/>
        <v>0</v>
      </c>
      <c r="J31" s="325">
        <f t="shared" si="10"/>
        <v>0</v>
      </c>
      <c r="K31" s="325">
        <f t="shared" si="6"/>
        <v>0</v>
      </c>
      <c r="L31" s="340">
        <v>0</v>
      </c>
      <c r="M31" s="686">
        <f t="shared" si="9"/>
        <v>0</v>
      </c>
      <c r="N31" s="325">
        <f t="shared" si="11"/>
        <v>0</v>
      </c>
      <c r="O31" s="326">
        <f t="shared" si="7"/>
        <v>0</v>
      </c>
      <c r="P31" s="2"/>
      <c r="Q31" s="4"/>
      <c r="R31" s="2"/>
      <c r="S31" s="2"/>
    </row>
    <row r="32" spans="1:19" s="313" customFormat="1">
      <c r="A32" s="345">
        <f t="shared" si="1"/>
        <v>22</v>
      </c>
      <c r="B32" s="348" t="s">
        <v>1221</v>
      </c>
      <c r="C32" s="324">
        <f t="shared" si="2"/>
        <v>0</v>
      </c>
      <c r="D32" s="324">
        <f t="shared" si="3"/>
        <v>0</v>
      </c>
      <c r="E32" s="324">
        <f t="shared" si="4"/>
        <v>0</v>
      </c>
      <c r="F32" s="324">
        <f t="shared" si="5"/>
        <v>0</v>
      </c>
      <c r="G32" s="345"/>
      <c r="H32" s="340">
        <v>0</v>
      </c>
      <c r="I32" s="686">
        <f t="shared" si="8"/>
        <v>0</v>
      </c>
      <c r="J32" s="325">
        <f t="shared" si="10"/>
        <v>0</v>
      </c>
      <c r="K32" s="325">
        <f t="shared" si="6"/>
        <v>0</v>
      </c>
      <c r="L32" s="340">
        <v>0</v>
      </c>
      <c r="M32" s="686">
        <f t="shared" si="9"/>
        <v>0</v>
      </c>
      <c r="N32" s="325">
        <f t="shared" si="11"/>
        <v>0</v>
      </c>
      <c r="O32" s="326">
        <f t="shared" si="7"/>
        <v>0</v>
      </c>
      <c r="P32" s="2"/>
      <c r="Q32" s="4"/>
      <c r="R32" s="2"/>
      <c r="S32" s="2"/>
    </row>
    <row r="33" spans="1:19" s="313" customFormat="1">
      <c r="A33" s="345">
        <f t="shared" si="1"/>
        <v>23</v>
      </c>
      <c r="B33" s="348" t="s">
        <v>1221</v>
      </c>
      <c r="C33" s="324">
        <f t="shared" si="2"/>
        <v>0</v>
      </c>
      <c r="D33" s="324">
        <f t="shared" si="3"/>
        <v>0</v>
      </c>
      <c r="E33" s="324">
        <f t="shared" si="4"/>
        <v>0</v>
      </c>
      <c r="F33" s="324">
        <f t="shared" si="5"/>
        <v>0</v>
      </c>
      <c r="G33" s="345"/>
      <c r="H33" s="340">
        <v>0</v>
      </c>
      <c r="I33" s="686">
        <f t="shared" si="8"/>
        <v>0</v>
      </c>
      <c r="J33" s="325">
        <f t="shared" si="10"/>
        <v>0</v>
      </c>
      <c r="K33" s="325">
        <f t="shared" si="6"/>
        <v>0</v>
      </c>
      <c r="L33" s="340">
        <v>0</v>
      </c>
      <c r="M33" s="686">
        <f t="shared" si="9"/>
        <v>0</v>
      </c>
      <c r="N33" s="325">
        <f t="shared" si="11"/>
        <v>0</v>
      </c>
      <c r="O33" s="326">
        <f t="shared" si="7"/>
        <v>0</v>
      </c>
      <c r="P33" s="2"/>
      <c r="Q33" s="4"/>
      <c r="R33" s="2"/>
      <c r="S33" s="2"/>
    </row>
    <row r="34" spans="1:19" s="313" customFormat="1">
      <c r="A34" s="345">
        <f t="shared" si="1"/>
        <v>24</v>
      </c>
      <c r="B34" s="348" t="s">
        <v>1221</v>
      </c>
      <c r="C34" s="324">
        <f t="shared" si="2"/>
        <v>0</v>
      </c>
      <c r="D34" s="324">
        <f t="shared" si="3"/>
        <v>0</v>
      </c>
      <c r="E34" s="324">
        <f t="shared" si="4"/>
        <v>0</v>
      </c>
      <c r="F34" s="324">
        <f t="shared" si="5"/>
        <v>0</v>
      </c>
      <c r="G34" s="345"/>
      <c r="H34" s="340">
        <v>0</v>
      </c>
      <c r="I34" s="686">
        <f t="shared" si="8"/>
        <v>0</v>
      </c>
      <c r="J34" s="325">
        <f t="shared" si="10"/>
        <v>0</v>
      </c>
      <c r="K34" s="325">
        <f t="shared" si="6"/>
        <v>0</v>
      </c>
      <c r="L34" s="340">
        <v>0</v>
      </c>
      <c r="M34" s="686">
        <f t="shared" si="9"/>
        <v>0</v>
      </c>
      <c r="N34" s="325">
        <f t="shared" si="11"/>
        <v>0</v>
      </c>
      <c r="O34" s="326">
        <f t="shared" si="7"/>
        <v>0</v>
      </c>
      <c r="P34" s="2"/>
      <c r="Q34" s="4"/>
      <c r="R34" s="2"/>
      <c r="S34" s="2"/>
    </row>
    <row r="35" spans="1:19" s="313" customFormat="1">
      <c r="A35" s="345">
        <f t="shared" si="1"/>
        <v>25</v>
      </c>
      <c r="B35" s="348" t="s">
        <v>1221</v>
      </c>
      <c r="C35" s="324">
        <f t="shared" si="2"/>
        <v>0</v>
      </c>
      <c r="D35" s="324">
        <f t="shared" si="3"/>
        <v>0</v>
      </c>
      <c r="E35" s="324">
        <f t="shared" si="4"/>
        <v>0</v>
      </c>
      <c r="F35" s="324">
        <f t="shared" si="5"/>
        <v>0</v>
      </c>
      <c r="G35" s="345"/>
      <c r="H35" s="340">
        <v>0</v>
      </c>
      <c r="I35" s="686">
        <f t="shared" si="8"/>
        <v>0</v>
      </c>
      <c r="J35" s="325">
        <f t="shared" si="10"/>
        <v>0</v>
      </c>
      <c r="K35" s="325">
        <f t="shared" si="6"/>
        <v>0</v>
      </c>
      <c r="L35" s="340">
        <v>0</v>
      </c>
      <c r="M35" s="686">
        <f t="shared" si="9"/>
        <v>0</v>
      </c>
      <c r="N35" s="325">
        <f t="shared" si="11"/>
        <v>0</v>
      </c>
      <c r="O35" s="326">
        <f t="shared" si="7"/>
        <v>0</v>
      </c>
      <c r="P35" s="2"/>
      <c r="Q35" s="4"/>
      <c r="R35" s="2"/>
      <c r="S35" s="2"/>
    </row>
    <row r="36" spans="1:19" s="313" customFormat="1">
      <c r="A36" s="345">
        <f t="shared" si="1"/>
        <v>26</v>
      </c>
      <c r="B36" s="348" t="s">
        <v>1221</v>
      </c>
      <c r="C36" s="324">
        <f t="shared" si="2"/>
        <v>0</v>
      </c>
      <c r="D36" s="324">
        <f t="shared" si="3"/>
        <v>0</v>
      </c>
      <c r="E36" s="324">
        <f t="shared" si="4"/>
        <v>0</v>
      </c>
      <c r="F36" s="324">
        <f t="shared" si="5"/>
        <v>0</v>
      </c>
      <c r="G36" s="345"/>
      <c r="H36" s="340">
        <v>0</v>
      </c>
      <c r="I36" s="686">
        <f t="shared" si="8"/>
        <v>0</v>
      </c>
      <c r="J36" s="325">
        <f t="shared" si="10"/>
        <v>0</v>
      </c>
      <c r="K36" s="325">
        <f t="shared" si="6"/>
        <v>0</v>
      </c>
      <c r="L36" s="340">
        <v>0</v>
      </c>
      <c r="M36" s="686">
        <f t="shared" si="9"/>
        <v>0</v>
      </c>
      <c r="N36" s="325">
        <f t="shared" si="11"/>
        <v>0</v>
      </c>
      <c r="O36" s="326">
        <f t="shared" si="7"/>
        <v>0</v>
      </c>
      <c r="P36" s="2"/>
      <c r="Q36" s="4"/>
      <c r="R36" s="2"/>
      <c r="S36" s="2"/>
    </row>
    <row r="37" spans="1:19" s="313" customFormat="1">
      <c r="A37" s="345">
        <f t="shared" si="1"/>
        <v>27</v>
      </c>
      <c r="B37" s="348" t="s">
        <v>1221</v>
      </c>
      <c r="C37" s="324">
        <f t="shared" si="2"/>
        <v>0</v>
      </c>
      <c r="D37" s="324">
        <f t="shared" si="3"/>
        <v>0</v>
      </c>
      <c r="E37" s="324">
        <f t="shared" si="4"/>
        <v>0</v>
      </c>
      <c r="F37" s="324">
        <f t="shared" si="5"/>
        <v>0</v>
      </c>
      <c r="G37" s="345"/>
      <c r="H37" s="340">
        <v>0</v>
      </c>
      <c r="I37" s="686">
        <f t="shared" si="8"/>
        <v>0</v>
      </c>
      <c r="J37" s="325">
        <f t="shared" si="10"/>
        <v>0</v>
      </c>
      <c r="K37" s="325">
        <f t="shared" si="6"/>
        <v>0</v>
      </c>
      <c r="L37" s="340">
        <v>0</v>
      </c>
      <c r="M37" s="686">
        <f t="shared" si="9"/>
        <v>0</v>
      </c>
      <c r="N37" s="325">
        <f t="shared" si="11"/>
        <v>0</v>
      </c>
      <c r="O37" s="326">
        <f t="shared" si="7"/>
        <v>0</v>
      </c>
      <c r="P37" s="2"/>
      <c r="Q37" s="4"/>
      <c r="R37" s="2"/>
      <c r="S37" s="2"/>
    </row>
    <row r="38" spans="1:19" s="313" customFormat="1">
      <c r="A38" s="345">
        <f t="shared" si="1"/>
        <v>28</v>
      </c>
      <c r="B38" s="348" t="s">
        <v>1221</v>
      </c>
      <c r="C38" s="324">
        <f t="shared" si="2"/>
        <v>0</v>
      </c>
      <c r="D38" s="324">
        <f t="shared" si="3"/>
        <v>0</v>
      </c>
      <c r="E38" s="324">
        <f t="shared" si="4"/>
        <v>0</v>
      </c>
      <c r="F38" s="324">
        <f t="shared" si="5"/>
        <v>0</v>
      </c>
      <c r="G38" s="345"/>
      <c r="H38" s="340">
        <v>0</v>
      </c>
      <c r="I38" s="686">
        <f t="shared" si="8"/>
        <v>0</v>
      </c>
      <c r="J38" s="325">
        <f t="shared" si="10"/>
        <v>0</v>
      </c>
      <c r="K38" s="325">
        <f t="shared" si="6"/>
        <v>0</v>
      </c>
      <c r="L38" s="340">
        <v>0</v>
      </c>
      <c r="M38" s="686">
        <f t="shared" si="9"/>
        <v>0</v>
      </c>
      <c r="N38" s="325">
        <f t="shared" si="11"/>
        <v>0</v>
      </c>
      <c r="O38" s="326">
        <f t="shared" si="7"/>
        <v>0</v>
      </c>
      <c r="P38" s="2"/>
      <c r="Q38" s="4"/>
      <c r="R38" s="2"/>
      <c r="S38" s="2"/>
    </row>
    <row r="39" spans="1:19" s="313" customFormat="1">
      <c r="A39" s="345">
        <f t="shared" si="1"/>
        <v>29</v>
      </c>
      <c r="B39" s="348" t="s">
        <v>1221</v>
      </c>
      <c r="C39" s="324">
        <f t="shared" si="2"/>
        <v>0</v>
      </c>
      <c r="D39" s="324">
        <f t="shared" si="3"/>
        <v>0</v>
      </c>
      <c r="E39" s="324">
        <f t="shared" si="4"/>
        <v>0</v>
      </c>
      <c r="F39" s="324">
        <f t="shared" si="5"/>
        <v>0</v>
      </c>
      <c r="G39" s="345"/>
      <c r="H39" s="340">
        <v>0</v>
      </c>
      <c r="I39" s="686">
        <f t="shared" si="8"/>
        <v>0</v>
      </c>
      <c r="J39" s="325">
        <f t="shared" si="10"/>
        <v>0</v>
      </c>
      <c r="K39" s="325">
        <f t="shared" si="6"/>
        <v>0</v>
      </c>
      <c r="L39" s="340">
        <v>0</v>
      </c>
      <c r="M39" s="686">
        <f t="shared" si="9"/>
        <v>0</v>
      </c>
      <c r="N39" s="325">
        <f t="shared" si="11"/>
        <v>0</v>
      </c>
      <c r="O39" s="326">
        <f t="shared" si="7"/>
        <v>0</v>
      </c>
      <c r="P39" s="2"/>
      <c r="Q39" s="4"/>
      <c r="R39" s="2"/>
      <c r="S39" s="2"/>
    </row>
    <row r="40" spans="1:19" s="313" customFormat="1">
      <c r="A40" s="345">
        <f t="shared" si="1"/>
        <v>30</v>
      </c>
      <c r="B40" s="348" t="s">
        <v>1221</v>
      </c>
      <c r="C40" s="324">
        <f t="shared" si="2"/>
        <v>0</v>
      </c>
      <c r="D40" s="324">
        <f t="shared" si="3"/>
        <v>0</v>
      </c>
      <c r="E40" s="324">
        <f t="shared" si="4"/>
        <v>0</v>
      </c>
      <c r="F40" s="324">
        <f t="shared" si="5"/>
        <v>0</v>
      </c>
      <c r="G40" s="345"/>
      <c r="H40" s="340">
        <v>0</v>
      </c>
      <c r="I40" s="686">
        <f t="shared" si="8"/>
        <v>0</v>
      </c>
      <c r="J40" s="325">
        <f t="shared" si="10"/>
        <v>0</v>
      </c>
      <c r="K40" s="325">
        <f t="shared" si="6"/>
        <v>0</v>
      </c>
      <c r="L40" s="340">
        <v>0</v>
      </c>
      <c r="M40" s="686">
        <f t="shared" si="9"/>
        <v>0</v>
      </c>
      <c r="N40" s="325">
        <f t="shared" si="11"/>
        <v>0</v>
      </c>
      <c r="O40" s="326">
        <f t="shared" si="7"/>
        <v>0</v>
      </c>
      <c r="P40" s="2"/>
      <c r="Q40" s="4"/>
      <c r="R40" s="2"/>
      <c r="S40" s="2"/>
    </row>
    <row r="41" spans="1:19" s="313" customFormat="1">
      <c r="A41" s="345">
        <f t="shared" si="1"/>
        <v>31</v>
      </c>
      <c r="B41" s="348" t="s">
        <v>1221</v>
      </c>
      <c r="C41" s="324">
        <f t="shared" si="2"/>
        <v>0</v>
      </c>
      <c r="D41" s="324">
        <f t="shared" si="3"/>
        <v>0</v>
      </c>
      <c r="E41" s="324">
        <f t="shared" si="4"/>
        <v>0</v>
      </c>
      <c r="F41" s="324">
        <f t="shared" si="5"/>
        <v>0</v>
      </c>
      <c r="G41" s="345"/>
      <c r="H41" s="340">
        <v>0</v>
      </c>
      <c r="I41" s="686">
        <f t="shared" si="8"/>
        <v>0</v>
      </c>
      <c r="J41" s="325">
        <f t="shared" si="10"/>
        <v>0</v>
      </c>
      <c r="K41" s="325">
        <f t="shared" si="6"/>
        <v>0</v>
      </c>
      <c r="L41" s="340">
        <v>0</v>
      </c>
      <c r="M41" s="686">
        <f t="shared" si="9"/>
        <v>0</v>
      </c>
      <c r="N41" s="325">
        <f t="shared" si="11"/>
        <v>0</v>
      </c>
      <c r="O41" s="326">
        <f t="shared" si="7"/>
        <v>0</v>
      </c>
      <c r="P41" s="2"/>
      <c r="Q41" s="4"/>
      <c r="R41" s="2"/>
      <c r="S41" s="2"/>
    </row>
    <row r="42" spans="1:19" s="313" customFormat="1">
      <c r="A42" s="345">
        <f t="shared" si="1"/>
        <v>32</v>
      </c>
      <c r="B42" s="348" t="s">
        <v>1221</v>
      </c>
      <c r="C42" s="324">
        <f t="shared" si="2"/>
        <v>0</v>
      </c>
      <c r="D42" s="324">
        <f t="shared" si="3"/>
        <v>0</v>
      </c>
      <c r="E42" s="324">
        <f t="shared" si="4"/>
        <v>0</v>
      </c>
      <c r="F42" s="324">
        <f t="shared" si="5"/>
        <v>0</v>
      </c>
      <c r="G42" s="345"/>
      <c r="H42" s="340">
        <v>0</v>
      </c>
      <c r="I42" s="686">
        <f t="shared" si="8"/>
        <v>0</v>
      </c>
      <c r="J42" s="325">
        <f t="shared" si="10"/>
        <v>0</v>
      </c>
      <c r="K42" s="325">
        <f t="shared" si="6"/>
        <v>0</v>
      </c>
      <c r="L42" s="340">
        <v>0</v>
      </c>
      <c r="M42" s="686">
        <f t="shared" si="9"/>
        <v>0</v>
      </c>
      <c r="N42" s="325">
        <f t="shared" si="11"/>
        <v>0</v>
      </c>
      <c r="O42" s="326">
        <f t="shared" si="7"/>
        <v>0</v>
      </c>
      <c r="P42" s="2"/>
      <c r="Q42" s="4"/>
      <c r="R42" s="2"/>
      <c r="S42" s="2"/>
    </row>
    <row r="43" spans="1:19" s="313" customFormat="1">
      <c r="A43" s="322"/>
      <c r="B43" s="345"/>
      <c r="G43" s="345"/>
      <c r="H43" s="327"/>
      <c r="I43" s="328"/>
      <c r="J43" s="328"/>
      <c r="K43" s="328"/>
      <c r="L43" s="329"/>
      <c r="M43" s="328"/>
      <c r="N43" s="330"/>
      <c r="O43" s="331"/>
      <c r="P43" s="2"/>
      <c r="Q43" s="4"/>
      <c r="R43" s="2"/>
      <c r="S43" s="2"/>
    </row>
    <row r="44" spans="1:19" s="313" customFormat="1">
      <c r="A44" s="347" t="s">
        <v>174</v>
      </c>
      <c r="B44" s="345"/>
      <c r="G44" s="345"/>
      <c r="H44" s="332"/>
      <c r="I44" s="332"/>
      <c r="J44" s="332"/>
      <c r="K44" s="332"/>
      <c r="L44" s="333"/>
      <c r="M44" s="332"/>
      <c r="N44" s="334"/>
      <c r="O44" s="334"/>
      <c r="P44" s="2"/>
      <c r="Q44" s="4"/>
      <c r="R44" s="2"/>
      <c r="S44" s="2"/>
    </row>
    <row r="45" spans="1:19" s="313" customFormat="1">
      <c r="A45" s="322" t="s">
        <v>79</v>
      </c>
      <c r="B45" s="346" t="s">
        <v>698</v>
      </c>
      <c r="G45" s="345"/>
      <c r="H45" s="332"/>
      <c r="I45" s="332"/>
      <c r="J45" s="332"/>
      <c r="K45" s="332"/>
      <c r="L45" s="333"/>
      <c r="M45" s="332"/>
      <c r="N45" s="334"/>
      <c r="O45" s="334"/>
      <c r="P45" s="2"/>
      <c r="Q45" s="4"/>
      <c r="R45" s="2"/>
      <c r="S45" s="2"/>
    </row>
    <row r="46" spans="1:19" s="16" customFormat="1" ht="15" customHeight="1">
      <c r="A46" s="322" t="s">
        <v>80</v>
      </c>
      <c r="B46" s="346" t="s">
        <v>699</v>
      </c>
      <c r="C46" s="46"/>
      <c r="D46" s="46"/>
      <c r="E46" s="46"/>
      <c r="F46" s="46"/>
      <c r="G46" s="344"/>
      <c r="H46" s="2"/>
      <c r="I46" s="2"/>
      <c r="P46" s="2"/>
      <c r="Q46" s="4"/>
      <c r="R46" s="2"/>
      <c r="S46" s="2"/>
    </row>
    <row r="47" spans="1:19" s="16" customFormat="1">
      <c r="A47" s="322" t="s">
        <v>81</v>
      </c>
      <c r="B47" s="811" t="s">
        <v>1126</v>
      </c>
      <c r="C47" s="811"/>
      <c r="D47" s="811"/>
      <c r="E47" s="811"/>
      <c r="F47" s="811"/>
      <c r="G47" s="811"/>
      <c r="H47" s="811"/>
      <c r="I47" s="811"/>
      <c r="J47" s="811"/>
      <c r="K47" s="811"/>
      <c r="P47" s="2"/>
      <c r="Q47" s="4"/>
      <c r="R47" s="2"/>
      <c r="S47" s="2"/>
    </row>
    <row r="48" spans="1:19" ht="15" customHeight="1">
      <c r="A48" s="322" t="s">
        <v>82</v>
      </c>
      <c r="B48" s="346" t="s">
        <v>1133</v>
      </c>
      <c r="C48" s="46"/>
      <c r="D48" s="46"/>
      <c r="E48" s="46"/>
      <c r="F48" s="46"/>
      <c r="G48" s="344"/>
    </row>
    <row r="49" spans="1:7" ht="15" customHeight="1">
      <c r="A49" s="44"/>
      <c r="B49" s="45"/>
      <c r="C49" s="46"/>
      <c r="D49" s="46"/>
      <c r="E49" s="46"/>
      <c r="F49" s="46"/>
      <c r="G49" s="344"/>
    </row>
    <row r="50" spans="1:7" ht="15" customHeight="1">
      <c r="A50" s="44"/>
      <c r="B50" s="45"/>
      <c r="C50" s="46"/>
      <c r="D50" s="46"/>
      <c r="E50" s="46"/>
      <c r="F50" s="46"/>
      <c r="G50" s="344"/>
    </row>
    <row r="51" spans="1:7" ht="15" customHeight="1">
      <c r="A51" s="44"/>
      <c r="B51" s="45"/>
      <c r="C51" s="46"/>
      <c r="D51" s="46"/>
      <c r="E51" s="46"/>
      <c r="F51" s="46"/>
      <c r="G51" s="344"/>
    </row>
    <row r="52" spans="1:7" ht="15" customHeight="1">
      <c r="A52" s="44"/>
      <c r="B52" s="45"/>
      <c r="C52" s="46"/>
      <c r="D52" s="46"/>
      <c r="E52" s="46"/>
      <c r="F52" s="46"/>
      <c r="G52" s="344"/>
    </row>
    <row r="53" spans="1:7" ht="15" customHeight="1">
      <c r="A53" s="44"/>
      <c r="B53" s="45"/>
      <c r="C53" s="46"/>
      <c r="D53" s="46"/>
      <c r="E53" s="46"/>
      <c r="F53" s="46"/>
      <c r="G53" s="344"/>
    </row>
    <row r="54" spans="1:7">
      <c r="A54" s="44"/>
      <c r="B54" s="45"/>
      <c r="C54" s="46"/>
      <c r="D54" s="46"/>
      <c r="E54" s="46"/>
      <c r="F54" s="46"/>
      <c r="G54" s="344"/>
    </row>
    <row r="55" spans="1:7">
      <c r="A55" s="44"/>
      <c r="B55" s="45"/>
      <c r="C55" s="46"/>
      <c r="D55" s="46"/>
      <c r="E55" s="46"/>
      <c r="F55" s="46"/>
      <c r="G55" s="344"/>
    </row>
    <row r="56" spans="1:7">
      <c r="A56" s="44"/>
      <c r="B56" s="45"/>
      <c r="C56" s="46"/>
      <c r="D56" s="46"/>
      <c r="E56" s="46"/>
      <c r="F56" s="46"/>
      <c r="G56" s="344"/>
    </row>
    <row r="57" spans="1:7">
      <c r="A57" s="44"/>
      <c r="B57" s="45"/>
      <c r="C57" s="46"/>
      <c r="D57" s="46"/>
      <c r="E57" s="46"/>
      <c r="F57" s="46"/>
      <c r="G57" s="344"/>
    </row>
    <row r="58" spans="1:7">
      <c r="A58" s="44"/>
      <c r="B58" s="45"/>
      <c r="C58" s="46"/>
      <c r="D58" s="46"/>
      <c r="E58" s="46"/>
      <c r="F58" s="46"/>
      <c r="G58" s="344"/>
    </row>
    <row r="59" spans="1:7">
      <c r="A59" s="44"/>
      <c r="B59" s="45"/>
      <c r="C59" s="46"/>
      <c r="D59" s="46"/>
      <c r="E59" s="46"/>
      <c r="F59" s="46"/>
      <c r="G59" s="344"/>
    </row>
    <row r="60" spans="1:7">
      <c r="A60" s="44"/>
      <c r="B60" s="45"/>
      <c r="C60" s="46"/>
      <c r="D60" s="46"/>
      <c r="E60" s="46"/>
      <c r="F60" s="46"/>
      <c r="G60" s="344"/>
    </row>
    <row r="61" spans="1:7">
      <c r="A61" s="44"/>
      <c r="B61" s="45"/>
      <c r="C61" s="46"/>
      <c r="D61" s="46"/>
      <c r="E61" s="46"/>
      <c r="F61" s="46"/>
      <c r="G61" s="344"/>
    </row>
    <row r="62" spans="1:7">
      <c r="A62" s="44"/>
      <c r="B62" s="45"/>
      <c r="C62" s="46"/>
      <c r="D62" s="46"/>
      <c r="E62" s="46"/>
      <c r="F62" s="46"/>
      <c r="G62" s="344"/>
    </row>
    <row r="63" spans="1:7">
      <c r="A63" s="44"/>
      <c r="B63" s="45"/>
      <c r="C63" s="46"/>
      <c r="D63" s="46"/>
      <c r="E63" s="46"/>
      <c r="F63" s="46"/>
      <c r="G63" s="344"/>
    </row>
    <row r="64" spans="1:7">
      <c r="A64" s="44"/>
      <c r="B64" s="45"/>
      <c r="C64" s="46"/>
      <c r="D64" s="46"/>
      <c r="E64" s="46"/>
      <c r="F64" s="46"/>
      <c r="G64" s="344"/>
    </row>
    <row r="87" spans="1:17">
      <c r="J87" s="3"/>
    </row>
    <row r="88" spans="1:17">
      <c r="J88" s="3"/>
      <c r="L88" s="6"/>
    </row>
    <row r="89" spans="1:17">
      <c r="J89" s="3"/>
    </row>
    <row r="92" spans="1:17" ht="102" customHeight="1"/>
    <row r="93" spans="1:17" s="16" customFormat="1">
      <c r="A93" s="1"/>
      <c r="B93" s="27"/>
      <c r="C93" s="2"/>
      <c r="D93" s="2"/>
      <c r="E93" s="2"/>
      <c r="F93" s="2"/>
      <c r="G93" s="27"/>
      <c r="H93" s="2"/>
      <c r="I93" s="2"/>
      <c r="Q93" s="15"/>
    </row>
    <row r="94" spans="1:17" s="16" customFormat="1" ht="63.75" customHeight="1">
      <c r="A94" s="1"/>
      <c r="B94" s="27"/>
      <c r="C94" s="2"/>
      <c r="D94" s="2"/>
      <c r="E94" s="2"/>
      <c r="F94" s="2"/>
      <c r="G94" s="27"/>
      <c r="H94" s="2"/>
      <c r="I94" s="2"/>
      <c r="Q94" s="15"/>
    </row>
    <row r="110" spans="1:17" s="16" customFormat="1">
      <c r="A110" s="1"/>
      <c r="B110" s="27"/>
      <c r="C110" s="2"/>
      <c r="D110" s="2"/>
      <c r="E110" s="2"/>
      <c r="F110" s="2"/>
      <c r="G110" s="27"/>
      <c r="H110" s="2"/>
      <c r="I110" s="2"/>
      <c r="J110" s="2"/>
      <c r="Q110" s="15"/>
    </row>
    <row r="111" spans="1:17" s="16" customFormat="1">
      <c r="A111" s="1"/>
      <c r="B111" s="27"/>
      <c r="C111" s="2"/>
      <c r="D111" s="2"/>
      <c r="E111" s="2"/>
      <c r="F111" s="2"/>
      <c r="G111" s="27"/>
      <c r="H111" s="2"/>
      <c r="I111" s="2"/>
      <c r="J111" s="2"/>
      <c r="K111" s="2"/>
      <c r="L111" s="2"/>
      <c r="Q111" s="15"/>
    </row>
    <row r="112" spans="1:17" s="16" customFormat="1">
      <c r="A112" s="1"/>
      <c r="B112" s="27"/>
      <c r="C112" s="2"/>
      <c r="D112" s="2"/>
      <c r="E112" s="2"/>
      <c r="F112" s="2"/>
      <c r="G112" s="27"/>
      <c r="H112" s="2"/>
      <c r="I112" s="2"/>
      <c r="J112" s="2"/>
      <c r="L112" s="2"/>
      <c r="Q112" s="15"/>
    </row>
    <row r="113" spans="1:17" s="16" customFormat="1" ht="82.5" customHeight="1">
      <c r="A113" s="1"/>
      <c r="B113" s="27"/>
      <c r="C113" s="2"/>
      <c r="D113" s="2"/>
      <c r="E113" s="2"/>
      <c r="F113" s="2"/>
      <c r="G113" s="27"/>
      <c r="H113" s="2"/>
      <c r="I113" s="2"/>
      <c r="J113" s="29"/>
      <c r="K113" s="29"/>
      <c r="L113" s="29"/>
      <c r="Q113" s="15"/>
    </row>
    <row r="114" spans="1:17" s="16" customFormat="1">
      <c r="A114" s="1"/>
      <c r="B114" s="27"/>
      <c r="C114" s="2"/>
      <c r="D114" s="2"/>
      <c r="E114" s="2"/>
      <c r="F114" s="2"/>
      <c r="G114" s="27"/>
      <c r="H114" s="2"/>
      <c r="I114" s="2"/>
      <c r="J114" s="2"/>
      <c r="K114" s="2"/>
      <c r="L114" s="2"/>
      <c r="Q114" s="15"/>
    </row>
    <row r="115" spans="1:17" s="16" customFormat="1">
      <c r="A115" s="1"/>
      <c r="B115" s="27"/>
      <c r="C115" s="2"/>
      <c r="D115" s="2"/>
      <c r="E115" s="2"/>
      <c r="F115" s="2"/>
      <c r="G115" s="27"/>
      <c r="H115" s="2"/>
      <c r="I115" s="2"/>
      <c r="J115" s="2"/>
      <c r="K115" s="2"/>
      <c r="L115" s="2"/>
      <c r="Q115" s="15"/>
    </row>
    <row r="116" spans="1:17" s="16" customFormat="1">
      <c r="A116" s="1"/>
      <c r="B116" s="27"/>
      <c r="C116" s="2"/>
      <c r="D116" s="2"/>
      <c r="E116" s="2"/>
      <c r="F116" s="2"/>
      <c r="G116" s="27"/>
      <c r="H116" s="2"/>
      <c r="I116" s="2"/>
      <c r="J116" s="2"/>
      <c r="K116" s="2"/>
      <c r="L116" s="2"/>
      <c r="Q116" s="15"/>
    </row>
    <row r="117" spans="1:17" s="16" customFormat="1">
      <c r="A117" s="1"/>
      <c r="B117" s="27"/>
      <c r="C117" s="2"/>
      <c r="D117" s="2"/>
      <c r="E117" s="2"/>
      <c r="F117" s="2"/>
      <c r="G117" s="27"/>
      <c r="H117" s="2"/>
      <c r="I117" s="2"/>
      <c r="J117" s="2"/>
      <c r="K117" s="2"/>
      <c r="L117" s="2"/>
      <c r="Q117" s="15"/>
    </row>
    <row r="118" spans="1:17" s="16" customFormat="1">
      <c r="A118" s="1"/>
      <c r="B118" s="27"/>
      <c r="C118" s="2"/>
      <c r="D118" s="2"/>
      <c r="E118" s="2"/>
      <c r="F118" s="2"/>
      <c r="G118" s="27"/>
      <c r="H118" s="2"/>
      <c r="I118" s="2"/>
      <c r="J118" s="2"/>
      <c r="K118" s="2"/>
      <c r="L118" s="2"/>
      <c r="Q118" s="15"/>
    </row>
    <row r="119" spans="1:17" s="16" customFormat="1">
      <c r="A119" s="1"/>
      <c r="B119" s="27"/>
      <c r="C119" s="2"/>
      <c r="D119" s="2"/>
      <c r="E119" s="2"/>
      <c r="F119" s="2"/>
      <c r="G119" s="27"/>
      <c r="H119" s="2"/>
      <c r="I119" s="2"/>
      <c r="J119" s="2"/>
      <c r="K119" s="2"/>
      <c r="L119" s="2"/>
      <c r="Q119" s="15"/>
    </row>
    <row r="120" spans="1:17" s="16" customFormat="1">
      <c r="A120" s="1"/>
      <c r="B120" s="27"/>
      <c r="C120" s="2"/>
      <c r="D120" s="2"/>
      <c r="E120" s="2"/>
      <c r="F120" s="2"/>
      <c r="G120" s="27"/>
      <c r="H120" s="2"/>
      <c r="I120" s="2"/>
      <c r="J120" s="2"/>
      <c r="K120" s="2"/>
      <c r="Q120" s="15"/>
    </row>
    <row r="121" spans="1:17" s="16" customFormat="1">
      <c r="A121" s="1"/>
      <c r="B121" s="27"/>
      <c r="C121" s="2"/>
      <c r="D121" s="2"/>
      <c r="E121" s="2"/>
      <c r="F121" s="2"/>
      <c r="G121" s="27"/>
      <c r="H121" s="2"/>
      <c r="I121" s="2"/>
      <c r="J121" s="2"/>
      <c r="K121" s="2"/>
      <c r="Q121" s="15"/>
    </row>
    <row r="123" spans="1:17" ht="15" customHeight="1">
      <c r="J123" s="306"/>
      <c r="K123" s="306"/>
    </row>
    <row r="124" spans="1:17" ht="15" customHeight="1">
      <c r="J124" s="306"/>
      <c r="K124" s="306"/>
      <c r="L124" s="6"/>
    </row>
    <row r="125" spans="1:17" ht="30.75" customHeight="1">
      <c r="J125" s="47"/>
      <c r="K125" s="47"/>
    </row>
    <row r="126" spans="1:17">
      <c r="J126" s="47"/>
      <c r="K126" s="47"/>
    </row>
    <row r="127" spans="1:17">
      <c r="J127" s="48"/>
      <c r="K127" s="48"/>
      <c r="L127" s="48"/>
      <c r="M127" s="48"/>
    </row>
    <row r="129" spans="10:14" ht="30.75" customHeight="1">
      <c r="J129" s="307"/>
      <c r="K129" s="307"/>
      <c r="L129" s="307"/>
      <c r="M129" s="307"/>
      <c r="N129" s="307"/>
    </row>
    <row r="130" spans="10:14" ht="15" customHeight="1">
      <c r="J130" s="307"/>
      <c r="K130" s="307"/>
    </row>
    <row r="131" spans="10:14" ht="82.5" customHeight="1">
      <c r="J131" s="307"/>
      <c r="K131" s="307"/>
      <c r="L131" s="307"/>
      <c r="M131" s="307"/>
      <c r="N131" s="307"/>
    </row>
    <row r="132" spans="10:14" ht="15" customHeight="1">
      <c r="J132" s="50"/>
      <c r="K132" s="50"/>
    </row>
    <row r="133" spans="10:14">
      <c r="J133" s="50"/>
      <c r="K133" s="50"/>
    </row>
    <row r="134" spans="10:14" ht="69.75" customHeight="1">
      <c r="J134" s="50"/>
      <c r="K134" s="50"/>
    </row>
  </sheetData>
  <mergeCells count="6">
    <mergeCell ref="B47:K47"/>
    <mergeCell ref="Q1:W1"/>
    <mergeCell ref="C14:F14"/>
    <mergeCell ref="A1:O1"/>
    <mergeCell ref="A2:O2"/>
    <mergeCell ref="A3:O3"/>
  </mergeCells>
  <pageMargins left="0.5" right="0.25" top="1" bottom="1" header="0.5" footer="0.5"/>
  <pageSetup scale="6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Table of Contents</vt:lpstr>
      <vt:lpstr>Act Att-H</vt:lpstr>
      <vt:lpstr>A1-RevCred</vt:lpstr>
      <vt:lpstr>A2-A&amp;G</vt:lpstr>
      <vt:lpstr>A3-ADIT</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Okouchi, Marie</cp:lastModifiedBy>
  <cp:lastPrinted>2020-03-19T19:29:59Z</cp:lastPrinted>
  <dcterms:created xsi:type="dcterms:W3CDTF">2008-03-20T17:17:47Z</dcterms:created>
  <dcterms:modified xsi:type="dcterms:W3CDTF">2024-09-30T19:17:37Z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